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slicers/slicer3.xml" ContentType="application/vnd.ms-excel.slicer+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slicers/slicer4.xml" ContentType="application/vnd.ms-excel.slicer+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d.docs.live.net/853fc9d06624440f/DataE/Project 1_Excel/"/>
    </mc:Choice>
  </mc:AlternateContent>
  <xr:revisionPtr revIDLastSave="78" documentId="13_ncr:1_{264D6976-C0CE-4527-9E86-61B5DFB7FDAD}" xr6:coauthVersionLast="47" xr6:coauthVersionMax="47" xr10:uidLastSave="{6E222BAF-B633-475F-89A6-8672AEA448E9}"/>
  <workbookProtection workbookAlgorithmName="SHA-512" workbookHashValue="mJgnYUwv0pvOw+RDosH3N5XjdqD2FhFMd4FB6fMP4KSzrZPuZr9qRWdw3UWDxp29/BpAwYJ90UZ8Yh9qm65ong==" workbookSaltValue="5HHvD/iXptlRgTM76TfJeA==" workbookSpinCount="100000" lockStructure="1"/>
  <bookViews>
    <workbookView xWindow="-120" yWindow="-120" windowWidth="29040" windowHeight="15720" tabRatio="0" xr2:uid="{00000000-000D-0000-FFFF-FFFF00000000}"/>
  </bookViews>
  <sheets>
    <sheet name="Sales &amp; Profit" sheetId="2" r:id="rId1"/>
    <sheet name="Trends" sheetId="14" r:id="rId2"/>
    <sheet name="Distribution" sheetId="15" r:id="rId3"/>
    <sheet name="Sales Map" sheetId="16" r:id="rId4"/>
    <sheet name="Pivot_tables" sheetId="20" r:id="rId5"/>
    <sheet name="DataSheet" sheetId="1" r:id="rId6"/>
  </sheets>
  <definedNames>
    <definedName name="_xlchart.v5.0" hidden="1">Pivot_tables!$AA$5</definedName>
    <definedName name="_xlchart.v5.1" hidden="1">Pivot_tables!$AA$6:$AA$54</definedName>
    <definedName name="_xlchart.v5.2" hidden="1">Pivot_tables!$AB$5</definedName>
    <definedName name="_xlchart.v5.3" hidden="1">Pivot_tables!$AB$6:$AB$54</definedName>
    <definedName name="_xlcn.WorksheetConnection_SuperstoreRawData.xlsxTable_11" hidden="1">Table_1[]</definedName>
    <definedName name="ExternalData_1" localSheetId="5">DataSheet!$A$1:$X$1937</definedName>
    <definedName name="Slicer_Customer_Segment">#N/A</definedName>
    <definedName name="Slicer_Customer_Segment1">#N/A</definedName>
    <definedName name="Slicer_Manager">#N/A</definedName>
    <definedName name="Slicer_Order_Date__Month">#N/A</definedName>
    <definedName name="Slicer_Order_Date__Month1">#N/A</definedName>
    <definedName name="Slicer_Order_Priority">#N/A</definedName>
    <definedName name="Slicer_Product_Category">#N/A</definedName>
    <definedName name="Slicer_Product_Sub_Category">#N/A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s>
  <extLst>
    <ext xmlns:x14="http://schemas.microsoft.com/office/spreadsheetml/2009/9/main" uri="{876F7934-8845-4945-9796-88D515C7AA90}">
      <x14:pivotCaches>
        <pivotCache cacheId="21" r:id="rId28"/>
        <pivotCache cacheId="22" r:id="rId29"/>
        <pivotCache cacheId="23" r:id="rId30"/>
        <pivotCache cacheId="24" r:id="rId31"/>
      </x14:pivotCaches>
    </ex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_1" name="Table_1" connection="WorksheetConnection_Superstore Raw Data.xlsx!Table_1"/>
        </x15:modelTables>
        <x15:extLst>
          <ext xmlns:x16="http://schemas.microsoft.com/office/spreadsheetml/2014/11/main" uri="{9835A34E-60A6-4A7C-AAB8-D5F71C897F49}">
            <x16:modelTimeGroupings>
              <x16:modelTimeGrouping tableName="Table_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40" i="20" l="1"/>
  <c r="CN41" i="20" s="1"/>
  <c r="CN28" i="20"/>
  <c r="CO32" i="20" s="1" a="1"/>
  <c r="CO32" i="20" s="1"/>
  <c r="CN16" i="20"/>
  <c r="CN18" i="20" s="1" a="1"/>
  <c r="CN18" i="20" s="1"/>
  <c r="CN4" i="20"/>
  <c r="CM6" i="20" s="1" a="1"/>
  <c r="CM6" i="20" s="1"/>
  <c r="CB6" i="20" a="1"/>
  <c r="CB6" i="20" s="1"/>
  <c r="CD8" i="20" s="1"/>
  <c r="CA6" i="20" a="1"/>
  <c r="CA6" i="20" s="1"/>
  <c r="X1939" i="1"/>
  <c r="X1938" i="1"/>
  <c r="CA4" i="20"/>
  <c r="BZ5" i="20" s="1"/>
  <c r="CG5" i="20"/>
  <c r="CF5" i="20"/>
  <c r="CE5" i="20"/>
  <c r="CD5" i="20"/>
  <c r="CC5" i="20"/>
  <c r="BE26" i="20"/>
  <c r="BF26" i="20"/>
  <c r="BD26" i="20"/>
  <c r="BI4" i="20"/>
  <c r="BH5" i="20" s="1"/>
  <c r="BM5" i="20" s="1"/>
  <c r="AD1938" i="1"/>
  <c r="U1938" i="1"/>
  <c r="J1938" i="1"/>
  <c r="F1938" i="1"/>
  <c r="AA54" i="20"/>
  <c r="AA53" i="20"/>
  <c r="AA52" i="20"/>
  <c r="AA51" i="20"/>
  <c r="B51" i="20"/>
  <c r="AA50" i="20"/>
  <c r="B50" i="20"/>
  <c r="AA49" i="20"/>
  <c r="AA48" i="20"/>
  <c r="C48" i="20" a="1"/>
  <c r="B48" i="20"/>
  <c r="AA47" i="20"/>
  <c r="AA46" i="20"/>
  <c r="AA45" i="20"/>
  <c r="AA44" i="20"/>
  <c r="AA43" i="20"/>
  <c r="AA42" i="20"/>
  <c r="AA41" i="20"/>
  <c r="AA40" i="20"/>
  <c r="AA39" i="20"/>
  <c r="AA38" i="20"/>
  <c r="AA37" i="20"/>
  <c r="AA36" i="20"/>
  <c r="AA35" i="20"/>
  <c r="AA34" i="20"/>
  <c r="AA33" i="20"/>
  <c r="AA32" i="20"/>
  <c r="AA31" i="20"/>
  <c r="AA30" i="20"/>
  <c r="AA29" i="20"/>
  <c r="AA28" i="20"/>
  <c r="E28" i="20"/>
  <c r="AA27" i="20"/>
  <c r="AA26" i="20"/>
  <c r="AA25" i="20"/>
  <c r="AA24" i="20"/>
  <c r="AA23" i="20"/>
  <c r="AA22" i="20"/>
  <c r="N22" i="20"/>
  <c r="M22" i="20"/>
  <c r="J22" i="20"/>
  <c r="AA21" i="20"/>
  <c r="N21" i="20"/>
  <c r="M21" i="20"/>
  <c r="J21" i="20"/>
  <c r="AE20" i="20"/>
  <c r="AA20" i="20"/>
  <c r="N20" i="20"/>
  <c r="M20" i="20"/>
  <c r="J20" i="20"/>
  <c r="AA19" i="20"/>
  <c r="N19" i="20"/>
  <c r="M19" i="20"/>
  <c r="J19" i="20"/>
  <c r="AA18" i="20"/>
  <c r="N18" i="20"/>
  <c r="M18" i="20"/>
  <c r="J18" i="20"/>
  <c r="AA17" i="20"/>
  <c r="N17" i="20"/>
  <c r="M17" i="20"/>
  <c r="J17" i="20"/>
  <c r="AA16" i="20"/>
  <c r="N16" i="20"/>
  <c r="M16" i="20"/>
  <c r="J16" i="20"/>
  <c r="AA15" i="20"/>
  <c r="N15" i="20"/>
  <c r="M15" i="20"/>
  <c r="J15" i="20"/>
  <c r="AA14" i="20"/>
  <c r="N14" i="20"/>
  <c r="M14" i="20"/>
  <c r="J14" i="20"/>
  <c r="AA13" i="20"/>
  <c r="N13" i="20"/>
  <c r="M13" i="20"/>
  <c r="J13" i="20"/>
  <c r="AA12" i="20"/>
  <c r="N12" i="20"/>
  <c r="M12" i="20"/>
  <c r="J12" i="20"/>
  <c r="AA11" i="20"/>
  <c r="N11" i="20"/>
  <c r="M11" i="20"/>
  <c r="J11" i="20"/>
  <c r="BK10" i="20"/>
  <c r="AA10" i="20"/>
  <c r="N10" i="20"/>
  <c r="M10" i="20"/>
  <c r="J10" i="20"/>
  <c r="BK9" i="20"/>
  <c r="AA9" i="20"/>
  <c r="N9" i="20"/>
  <c r="M9" i="20"/>
  <c r="J9" i="20"/>
  <c r="BK8" i="20"/>
  <c r="AA8" i="20"/>
  <c r="N8" i="20"/>
  <c r="M8" i="20"/>
  <c r="J8" i="20"/>
  <c r="BK7" i="20"/>
  <c r="AY7" i="20" a="1"/>
  <c r="AY7" i="20" s="1"/>
  <c r="AQ7" i="20" a="1"/>
  <c r="AT49" i="20" s="1"/>
  <c r="AA7" i="20"/>
  <c r="Z7" i="20"/>
  <c r="AB5" i="20" s="1"/>
  <c r="AB6" i="20" s="1" a="1"/>
  <c r="AC54" i="20" s="1"/>
  <c r="N7" i="20"/>
  <c r="M7" i="20"/>
  <c r="J7" i="20"/>
  <c r="BK6" i="20"/>
  <c r="BJ6" i="20" a="1"/>
  <c r="BQ10" i="20" s="1"/>
  <c r="BI6" i="20" a="1"/>
  <c r="BR10" i="20" s="1"/>
  <c r="AA6" i="20"/>
  <c r="N6" i="20"/>
  <c r="M6" i="20"/>
  <c r="J6" i="20"/>
  <c r="BK5" i="20"/>
  <c r="AZ5" i="20"/>
  <c r="AZ6" i="20" s="1"/>
  <c r="AZ7" i="20" s="1" a="1"/>
  <c r="AZ7" i="20" s="1"/>
  <c r="AR5" i="20"/>
  <c r="AR6" i="20" s="1"/>
  <c r="AR7" i="20" s="1" a="1"/>
  <c r="AS184" i="20" s="1"/>
  <c r="AA5" i="20"/>
  <c r="AI29" i="20"/>
  <c r="AJ26" i="20"/>
  <c r="AG31" i="20"/>
  <c r="AF23" i="20"/>
  <c r="AI23" i="20"/>
  <c r="AI32" i="20"/>
  <c r="AF30" i="20"/>
  <c r="AF25" i="20"/>
  <c r="AH32" i="20"/>
  <c r="AJ25" i="20"/>
  <c r="AH28" i="20"/>
  <c r="AH22" i="20"/>
  <c r="AJ27" i="20"/>
  <c r="AI28" i="20"/>
  <c r="AI24" i="20"/>
  <c r="AH25" i="20"/>
  <c r="AJ32" i="20"/>
  <c r="AH21" i="20"/>
  <c r="AJ22" i="20"/>
  <c r="AF24" i="20"/>
  <c r="AF29" i="20"/>
  <c r="AG21" i="20"/>
  <c r="AH23" i="20"/>
  <c r="AI21" i="20"/>
  <c r="AI30" i="20"/>
  <c r="AF27" i="20"/>
  <c r="AG32" i="20"/>
  <c r="AI31" i="20"/>
  <c r="AJ24" i="20"/>
  <c r="AJ30" i="20"/>
  <c r="AG23" i="20"/>
  <c r="AG26" i="20"/>
  <c r="AI27" i="20"/>
  <c r="AF22" i="20"/>
  <c r="AG22" i="20"/>
  <c r="AG30" i="20"/>
  <c r="AI25" i="20"/>
  <c r="AJ23" i="20"/>
  <c r="AG25" i="20"/>
  <c r="AG28" i="20"/>
  <c r="AF31" i="20"/>
  <c r="AG24" i="20"/>
  <c r="AI22" i="20"/>
  <c r="AH26" i="20"/>
  <c r="AH24" i="20"/>
  <c r="AF32" i="20"/>
  <c r="AJ28" i="20"/>
  <c r="AI26" i="20"/>
  <c r="AJ29" i="20"/>
  <c r="AF26" i="20"/>
  <c r="AH31" i="20"/>
  <c r="AF28" i="20"/>
  <c r="AG27" i="20"/>
  <c r="AJ21" i="20"/>
  <c r="AF21" i="20"/>
  <c r="AH30" i="20"/>
  <c r="AG29" i="20"/>
  <c r="AH27" i="20"/>
  <c r="AH29" i="20"/>
  <c r="AJ31" i="20"/>
  <c r="Q6" i="20"/>
  <c r="E32" i="20"/>
  <c r="S6" i="20"/>
  <c r="H28" i="20"/>
  <c r="CN17" i="20" l="1"/>
  <c r="CM18" i="20" a="1"/>
  <c r="CM18" i="20" s="1"/>
  <c r="CM20" i="20" a="1"/>
  <c r="CM20" i="20" s="1"/>
  <c r="CM19" i="20" a="1"/>
  <c r="CM19" i="20" s="1"/>
  <c r="CN19" i="20" a="1"/>
  <c r="CN19" i="20" s="1"/>
  <c r="CO18" i="20" a="1"/>
  <c r="CO18" i="20" s="1"/>
  <c r="CO20" i="20" a="1"/>
  <c r="CO20" i="20" s="1"/>
  <c r="CN20" i="20" a="1"/>
  <c r="CN20" i="20" s="1"/>
  <c r="CO19" i="20" a="1"/>
  <c r="CO19" i="20" s="1"/>
  <c r="CM30" i="20" a="1"/>
  <c r="CM30" i="20" s="1"/>
  <c r="CM32" i="20" a="1"/>
  <c r="CM32" i="20" s="1"/>
  <c r="CM31" i="20" a="1"/>
  <c r="CM31" i="20" s="1"/>
  <c r="CN30" i="20" a="1"/>
  <c r="CN30" i="20" s="1"/>
  <c r="CN31" i="20" a="1"/>
  <c r="CN31" i="20" s="1"/>
  <c r="CN32" i="20" a="1"/>
  <c r="CN32" i="20" s="1"/>
  <c r="CO30" i="20" a="1"/>
  <c r="CO30" i="20" s="1"/>
  <c r="CO31" i="20" a="1"/>
  <c r="CO31" i="20" s="1"/>
  <c r="CN29" i="20"/>
  <c r="CM42" i="20" a="1"/>
  <c r="CM42" i="20" s="1"/>
  <c r="CM44" i="20" a="1"/>
  <c r="CM44" i="20" s="1"/>
  <c r="CM43" i="20" a="1"/>
  <c r="CM43" i="20" s="1"/>
  <c r="CN42" i="20" a="1"/>
  <c r="CN42" i="20" s="1"/>
  <c r="CN44" i="20" a="1"/>
  <c r="CN44" i="20" s="1"/>
  <c r="CN43" i="20" a="1"/>
  <c r="CN43" i="20" s="1"/>
  <c r="CO43" i="20" a="1"/>
  <c r="CO43" i="20" s="1"/>
  <c r="CO42" i="20" a="1"/>
  <c r="CO42" i="20" s="1"/>
  <c r="CO44" i="20" a="1"/>
  <c r="CO44" i="20" s="1"/>
  <c r="CN7" i="20" a="1"/>
  <c r="CN7" i="20" s="1"/>
  <c r="CO6" i="20" a="1"/>
  <c r="CO6" i="20" s="1"/>
  <c r="CO8" i="20" a="1"/>
  <c r="CO8" i="20" s="1"/>
  <c r="CM8" i="20" a="1"/>
  <c r="CM8" i="20" s="1"/>
  <c r="CN6" i="20" a="1"/>
  <c r="CN6" i="20" s="1"/>
  <c r="CN8" i="20" a="1"/>
  <c r="CN8" i="20" s="1"/>
  <c r="CN5" i="20"/>
  <c r="CO7" i="20" a="1"/>
  <c r="CO7" i="20" s="1"/>
  <c r="CM7" i="20" a="1"/>
  <c r="CM7" i="20" s="1"/>
  <c r="CC6" i="20"/>
  <c r="BZ6" i="20" a="1"/>
  <c r="BZ6" i="20" s="1"/>
  <c r="CD6" i="20" s="1"/>
  <c r="CG8" i="20"/>
  <c r="CF8" i="20"/>
  <c r="CE8" i="20"/>
  <c r="BQ7" i="20"/>
  <c r="BQ8" i="20"/>
  <c r="BQ9" i="20"/>
  <c r="BH6" i="20" a="1"/>
  <c r="BL5" i="20"/>
  <c r="BP5" i="20"/>
  <c r="BO5" i="20"/>
  <c r="BN5" i="20"/>
  <c r="Z6" i="20"/>
  <c r="BI6" i="20"/>
  <c r="BR6" i="20" s="1"/>
  <c r="BR9" i="20"/>
  <c r="BJ6" i="20"/>
  <c r="BQ6" i="20" s="1"/>
  <c r="BR8" i="20"/>
  <c r="BR7" i="20"/>
  <c r="AR4" i="20"/>
  <c r="AY26" i="20"/>
  <c r="AY27" i="20" a="1"/>
  <c r="AY27" i="20" s="1"/>
  <c r="AW20" i="20" s="1"/>
  <c r="AX20" i="20" s="1" a="1"/>
  <c r="AX20" i="20" s="1"/>
  <c r="AT9" i="20"/>
  <c r="AS8" i="20"/>
  <c r="AS14" i="20"/>
  <c r="AS9" i="20"/>
  <c r="AT10" i="20"/>
  <c r="AT20" i="20"/>
  <c r="AT21" i="20"/>
  <c r="AT22" i="20"/>
  <c r="AT24" i="20"/>
  <c r="AT27" i="20"/>
  <c r="AT30" i="20"/>
  <c r="AT34" i="20"/>
  <c r="AT38" i="20"/>
  <c r="AT42" i="20"/>
  <c r="AT46" i="20"/>
  <c r="AS53" i="20"/>
  <c r="AT58" i="20"/>
  <c r="AT64" i="20"/>
  <c r="AT70" i="20"/>
  <c r="AT76" i="20"/>
  <c r="AT82" i="20"/>
  <c r="AT88" i="20"/>
  <c r="AT94" i="20"/>
  <c r="AT100" i="20"/>
  <c r="AT106" i="20"/>
  <c r="AT112" i="20"/>
  <c r="AT118" i="20"/>
  <c r="AT124" i="20"/>
  <c r="AT130" i="20"/>
  <c r="AT136" i="20"/>
  <c r="AT142" i="20"/>
  <c r="AT148" i="20"/>
  <c r="AT154" i="20"/>
  <c r="AT160" i="20"/>
  <c r="AT166" i="20"/>
  <c r="AT172" i="20"/>
  <c r="AT178" i="20"/>
  <c r="AT184" i="20"/>
  <c r="AT53" i="20"/>
  <c r="AS59" i="20"/>
  <c r="AS65" i="20"/>
  <c r="AS71" i="20"/>
  <c r="AS77" i="20"/>
  <c r="AS83" i="20"/>
  <c r="AS89" i="20"/>
  <c r="AS95" i="20"/>
  <c r="AS101" i="20"/>
  <c r="AS107" i="20"/>
  <c r="AS113" i="20"/>
  <c r="AS119" i="20"/>
  <c r="AS125" i="20"/>
  <c r="AS131" i="20"/>
  <c r="AS137" i="20"/>
  <c r="AS143" i="20"/>
  <c r="AS149" i="20"/>
  <c r="AS155" i="20"/>
  <c r="AS161" i="20"/>
  <c r="AS167" i="20"/>
  <c r="AS173" i="20"/>
  <c r="AS179" i="20"/>
  <c r="AS185" i="20"/>
  <c r="AT8" i="20"/>
  <c r="AS25" i="20"/>
  <c r="AS31" i="20"/>
  <c r="AS35" i="20"/>
  <c r="AS39" i="20"/>
  <c r="AS43" i="20"/>
  <c r="AS47" i="20"/>
  <c r="AS50" i="20"/>
  <c r="AT59" i="20"/>
  <c r="AT65" i="20"/>
  <c r="AT71" i="20"/>
  <c r="AT77" i="20"/>
  <c r="AT83" i="20"/>
  <c r="AT89" i="20"/>
  <c r="AT95" i="20"/>
  <c r="AT101" i="20"/>
  <c r="AT107" i="20"/>
  <c r="AT113" i="20"/>
  <c r="AT119" i="20"/>
  <c r="AT125" i="20"/>
  <c r="AT131" i="20"/>
  <c r="AT137" i="20"/>
  <c r="AT143" i="20"/>
  <c r="AT149" i="20"/>
  <c r="AT155" i="20"/>
  <c r="AT161" i="20"/>
  <c r="AT167" i="20"/>
  <c r="AT173" i="20"/>
  <c r="AT179" i="20"/>
  <c r="AT185" i="20"/>
  <c r="AT25" i="20"/>
  <c r="AT31" i="20"/>
  <c r="AT35" i="20"/>
  <c r="AT39" i="20"/>
  <c r="AT43" i="20"/>
  <c r="AT47" i="20"/>
  <c r="AT50" i="20"/>
  <c r="AS54" i="20"/>
  <c r="AS60" i="20"/>
  <c r="AS66" i="20"/>
  <c r="AS72" i="20"/>
  <c r="AS78" i="20"/>
  <c r="AS84" i="20"/>
  <c r="AS90" i="20"/>
  <c r="AS96" i="20"/>
  <c r="AS102" i="20"/>
  <c r="AS108" i="20"/>
  <c r="AS114" i="20"/>
  <c r="AS120" i="20"/>
  <c r="AS126" i="20"/>
  <c r="AS132" i="20"/>
  <c r="AS138" i="20"/>
  <c r="AS144" i="20"/>
  <c r="AS150" i="20"/>
  <c r="AS156" i="20"/>
  <c r="AS162" i="20"/>
  <c r="AS168" i="20"/>
  <c r="AS174" i="20"/>
  <c r="AS180" i="20"/>
  <c r="AT54" i="20"/>
  <c r="AT66" i="20"/>
  <c r="AT78" i="20"/>
  <c r="AT90" i="20"/>
  <c r="AT96" i="20"/>
  <c r="AT108" i="20"/>
  <c r="AT114" i="20"/>
  <c r="AT120" i="20"/>
  <c r="AT126" i="20"/>
  <c r="AT132" i="20"/>
  <c r="AT138" i="20"/>
  <c r="AT144" i="20"/>
  <c r="AT150" i="20"/>
  <c r="AT156" i="20"/>
  <c r="AT162" i="20"/>
  <c r="AT168" i="20"/>
  <c r="AT180" i="20"/>
  <c r="AS12" i="20"/>
  <c r="AT60" i="20"/>
  <c r="AT72" i="20"/>
  <c r="AT84" i="20"/>
  <c r="AT102" i="20"/>
  <c r="AT174" i="20"/>
  <c r="AT12" i="20"/>
  <c r="AT14" i="20"/>
  <c r="AT19" i="20"/>
  <c r="AS26" i="20"/>
  <c r="AS28" i="20"/>
  <c r="AS32" i="20"/>
  <c r="AS36" i="20"/>
  <c r="AS40" i="20"/>
  <c r="AS44" i="20"/>
  <c r="AS55" i="20"/>
  <c r="AS61" i="20"/>
  <c r="AS67" i="20"/>
  <c r="AS73" i="20"/>
  <c r="AS79" i="20"/>
  <c r="AS85" i="20"/>
  <c r="AS91" i="20"/>
  <c r="AS97" i="20"/>
  <c r="AS103" i="20"/>
  <c r="AS109" i="20"/>
  <c r="AS115" i="20"/>
  <c r="AS121" i="20"/>
  <c r="AS127" i="20"/>
  <c r="AS133" i="20"/>
  <c r="AS139" i="20"/>
  <c r="AS145" i="20"/>
  <c r="AS151" i="20"/>
  <c r="AS157" i="20"/>
  <c r="AS163" i="20"/>
  <c r="AS169" i="20"/>
  <c r="AS175" i="20"/>
  <c r="AS181" i="20"/>
  <c r="AT26" i="20"/>
  <c r="AT28" i="20"/>
  <c r="AT32" i="20"/>
  <c r="AT36" i="20"/>
  <c r="AT40" i="20"/>
  <c r="AT44" i="20"/>
  <c r="AS51" i="20"/>
  <c r="AT55" i="20"/>
  <c r="AT61" i="20"/>
  <c r="AT67" i="20"/>
  <c r="AT73" i="20"/>
  <c r="AT79" i="20"/>
  <c r="AT85" i="20"/>
  <c r="AT91" i="20"/>
  <c r="AT97" i="20"/>
  <c r="AT103" i="20"/>
  <c r="AT109" i="20"/>
  <c r="AT115" i="20"/>
  <c r="AT121" i="20"/>
  <c r="AT127" i="20"/>
  <c r="AT133" i="20"/>
  <c r="AT139" i="20"/>
  <c r="AT145" i="20"/>
  <c r="AT151" i="20"/>
  <c r="AT157" i="20"/>
  <c r="AT163" i="20"/>
  <c r="AT169" i="20"/>
  <c r="AT175" i="20"/>
  <c r="AT181" i="20"/>
  <c r="AQ7" i="20"/>
  <c r="AT7" i="20" s="1"/>
  <c r="AS48" i="20"/>
  <c r="AT51" i="20"/>
  <c r="AS56" i="20"/>
  <c r="AS62" i="20"/>
  <c r="AS68" i="20"/>
  <c r="AS74" i="20"/>
  <c r="AS80" i="20"/>
  <c r="AS86" i="20"/>
  <c r="AS92" i="20"/>
  <c r="AS98" i="20"/>
  <c r="AS104" i="20"/>
  <c r="AS110" i="20"/>
  <c r="AS116" i="20"/>
  <c r="AS122" i="20"/>
  <c r="AS128" i="20"/>
  <c r="AS134" i="20"/>
  <c r="AS140" i="20"/>
  <c r="AS146" i="20"/>
  <c r="AS152" i="20"/>
  <c r="AS158" i="20"/>
  <c r="AS164" i="20"/>
  <c r="AS170" i="20"/>
  <c r="AS176" i="20"/>
  <c r="AS182" i="20"/>
  <c r="AS23" i="20"/>
  <c r="AS29" i="20"/>
  <c r="AS33" i="20"/>
  <c r="AS37" i="20"/>
  <c r="AS41" i="20"/>
  <c r="AS45" i="20"/>
  <c r="AT48" i="20"/>
  <c r="AT56" i="20"/>
  <c r="AT62" i="20"/>
  <c r="AT68" i="20"/>
  <c r="AT74" i="20"/>
  <c r="AT80" i="20"/>
  <c r="AT86" i="20"/>
  <c r="AT92" i="20"/>
  <c r="AT98" i="20"/>
  <c r="AT104" i="20"/>
  <c r="AT110" i="20"/>
  <c r="AT116" i="20"/>
  <c r="AT122" i="20"/>
  <c r="AT128" i="20"/>
  <c r="AT134" i="20"/>
  <c r="AT140" i="20"/>
  <c r="AT146" i="20"/>
  <c r="AT152" i="20"/>
  <c r="AT158" i="20"/>
  <c r="AT164" i="20"/>
  <c r="AT170" i="20"/>
  <c r="AT176" i="20"/>
  <c r="AT182" i="20"/>
  <c r="AR7" i="20"/>
  <c r="AT23" i="20"/>
  <c r="AT29" i="20"/>
  <c r="AT33" i="20"/>
  <c r="AT37" i="20"/>
  <c r="AT41" i="20"/>
  <c r="AT45" i="20"/>
  <c r="AS52" i="20"/>
  <c r="AS57" i="20"/>
  <c r="AS63" i="20"/>
  <c r="AS69" i="20"/>
  <c r="AS75" i="20"/>
  <c r="AS81" i="20"/>
  <c r="AS87" i="20"/>
  <c r="AS93" i="20"/>
  <c r="AS99" i="20"/>
  <c r="AS105" i="20"/>
  <c r="AS111" i="20"/>
  <c r="AS117" i="20"/>
  <c r="AS123" i="20"/>
  <c r="AS129" i="20"/>
  <c r="AS135" i="20"/>
  <c r="AS141" i="20"/>
  <c r="AS147" i="20"/>
  <c r="AS153" i="20"/>
  <c r="AS159" i="20"/>
  <c r="AS165" i="20"/>
  <c r="AS171" i="20"/>
  <c r="AS177" i="20"/>
  <c r="AS183" i="20"/>
  <c r="AS19" i="20"/>
  <c r="AS17" i="20"/>
  <c r="AT52" i="20"/>
  <c r="AT63" i="20"/>
  <c r="AT75" i="20"/>
  <c r="AT81" i="20"/>
  <c r="AT93" i="20"/>
  <c r="AT99" i="20"/>
  <c r="AT105" i="20"/>
  <c r="AT111" i="20"/>
  <c r="AT117" i="20"/>
  <c r="AT123" i="20"/>
  <c r="AT129" i="20"/>
  <c r="AT135" i="20"/>
  <c r="AT141" i="20"/>
  <c r="AT147" i="20"/>
  <c r="AT153" i="20"/>
  <c r="AT159" i="20"/>
  <c r="AT165" i="20"/>
  <c r="AT171" i="20"/>
  <c r="AT183" i="20"/>
  <c r="AS11" i="20"/>
  <c r="AS13" i="20"/>
  <c r="AS15" i="20"/>
  <c r="AS16" i="20"/>
  <c r="AS18" i="20"/>
  <c r="AS49" i="20"/>
  <c r="AT57" i="20"/>
  <c r="AT69" i="20"/>
  <c r="AT87" i="20"/>
  <c r="AT177" i="20"/>
  <c r="AS10" i="20"/>
  <c r="AT11" i="20"/>
  <c r="AT13" i="20"/>
  <c r="AT15" i="20"/>
  <c r="AT16" i="20"/>
  <c r="AT17" i="20"/>
  <c r="AT18" i="20"/>
  <c r="AS20" i="20"/>
  <c r="AS21" i="20"/>
  <c r="AS22" i="20"/>
  <c r="AS24" i="20"/>
  <c r="AS27" i="20"/>
  <c r="AS30" i="20"/>
  <c r="AS34" i="20"/>
  <c r="AS38" i="20"/>
  <c r="AS42" i="20"/>
  <c r="AS46" i="20"/>
  <c r="AS58" i="20"/>
  <c r="AS64" i="20"/>
  <c r="AS70" i="20"/>
  <c r="AS76" i="20"/>
  <c r="AS82" i="20"/>
  <c r="AS88" i="20"/>
  <c r="AS94" i="20"/>
  <c r="AS100" i="20"/>
  <c r="AS106" i="20"/>
  <c r="AS112" i="20"/>
  <c r="AS118" i="20"/>
  <c r="AS124" i="20"/>
  <c r="AS130" i="20"/>
  <c r="AS136" i="20"/>
  <c r="AS142" i="20"/>
  <c r="AS148" i="20"/>
  <c r="AS154" i="20"/>
  <c r="AS160" i="20"/>
  <c r="AS166" i="20"/>
  <c r="AS172" i="20"/>
  <c r="AS178" i="20"/>
  <c r="L8" i="20"/>
  <c r="L14" i="20"/>
  <c r="L19" i="20"/>
  <c r="L10" i="20"/>
  <c r="L11" i="20"/>
  <c r="L13" i="20"/>
  <c r="K10" i="20"/>
  <c r="L15" i="20"/>
  <c r="L16" i="20"/>
  <c r="L17" i="20"/>
  <c r="L18" i="20"/>
  <c r="L20" i="20"/>
  <c r="L21" i="20"/>
  <c r="L22" i="20"/>
  <c r="AC13" i="20"/>
  <c r="L7" i="20"/>
  <c r="AC8" i="20"/>
  <c r="L12" i="20"/>
  <c r="AF36" i="20" a="1"/>
  <c r="AF36" i="20" s="1"/>
  <c r="AG36" i="20" a="1"/>
  <c r="AG36" i="20" s="1"/>
  <c r="AF35" i="20" a="1"/>
  <c r="AF35" i="20" s="1"/>
  <c r="AH36" i="20" a="1"/>
  <c r="AH36" i="20" s="1"/>
  <c r="AG35" i="20" a="1"/>
  <c r="AG35" i="20" s="1"/>
  <c r="AI36" i="20" a="1"/>
  <c r="AI36" i="20" s="1"/>
  <c r="AH35" i="20" a="1"/>
  <c r="AH35" i="20" s="1"/>
  <c r="AJ36" i="20" a="1"/>
  <c r="AJ36" i="20" s="1"/>
  <c r="Q7" i="20"/>
  <c r="AF34" i="20" a="1"/>
  <c r="AF34" i="20" s="1"/>
  <c r="AI35" i="20" a="1"/>
  <c r="AI35" i="20" s="1"/>
  <c r="AG34" i="20" a="1"/>
  <c r="AG34" i="20" s="1"/>
  <c r="AJ35" i="20" a="1"/>
  <c r="AJ35" i="20" s="1"/>
  <c r="AH34" i="20" a="1"/>
  <c r="AH34" i="20" s="1"/>
  <c r="AI34" i="20" a="1"/>
  <c r="AI34" i="20" s="1"/>
  <c r="AJ34" i="20" a="1"/>
  <c r="AJ34" i="20" s="1"/>
  <c r="K6" i="20"/>
  <c r="AC11" i="20"/>
  <c r="AC15" i="20"/>
  <c r="AC25" i="20"/>
  <c r="AC34" i="20"/>
  <c r="K11" i="20"/>
  <c r="K15" i="20"/>
  <c r="L6" i="20"/>
  <c r="K7" i="20"/>
  <c r="K8" i="20"/>
  <c r="K13" i="20"/>
  <c r="K17" i="20"/>
  <c r="K19" i="20"/>
  <c r="AC31" i="20"/>
  <c r="AC49" i="20"/>
  <c r="K21" i="20"/>
  <c r="AC35" i="20"/>
  <c r="AC14" i="20"/>
  <c r="AC20" i="20"/>
  <c r="AC22" i="20"/>
  <c r="AC24" i="20"/>
  <c r="AC38" i="20"/>
  <c r="AC41" i="20"/>
  <c r="AC44" i="20"/>
  <c r="AC47" i="20"/>
  <c r="AC52" i="20"/>
  <c r="AC30" i="20"/>
  <c r="AC36" i="20"/>
  <c r="K9" i="20"/>
  <c r="AC16" i="20"/>
  <c r="L9" i="20"/>
  <c r="K12" i="20"/>
  <c r="K18" i="20"/>
  <c r="AC17" i="20"/>
  <c r="AC19" i="20"/>
  <c r="AC23" i="20"/>
  <c r="AC37" i="20"/>
  <c r="AC50" i="20"/>
  <c r="AC21" i="20"/>
  <c r="AC29" i="20"/>
  <c r="AC39" i="20"/>
  <c r="AC42" i="20"/>
  <c r="AC45" i="20"/>
  <c r="AC53" i="20"/>
  <c r="AC33" i="20"/>
  <c r="AC7" i="20"/>
  <c r="AC9" i="20"/>
  <c r="AB6" i="20"/>
  <c r="AC12" i="20"/>
  <c r="AC18" i="20"/>
  <c r="AC26" i="20"/>
  <c r="AC27" i="20"/>
  <c r="AC48" i="20"/>
  <c r="AC10" i="20"/>
  <c r="K14" i="20"/>
  <c r="K16" i="20"/>
  <c r="K20" i="20"/>
  <c r="K22" i="20"/>
  <c r="AC28" i="20"/>
  <c r="AC32" i="20"/>
  <c r="AC40" i="20"/>
  <c r="AC43" i="20"/>
  <c r="AC46" i="20"/>
  <c r="AC51" i="20"/>
  <c r="C48" i="20"/>
  <c r="B49" i="20"/>
  <c r="CH8" i="20" l="1"/>
  <c r="CC7" i="20"/>
  <c r="CE6" i="20"/>
  <c r="CF6" i="20"/>
  <c r="CG6" i="20"/>
  <c r="BQ11" i="20"/>
  <c r="BH6" i="20"/>
  <c r="BL9" i="20"/>
  <c r="BL7" i="20"/>
  <c r="BL8" i="20"/>
  <c r="BL10" i="20"/>
  <c r="AW15" i="20"/>
  <c r="AX15" i="20" s="1" a="1"/>
  <c r="AX15" i="20" s="1"/>
  <c r="AW16" i="20"/>
  <c r="AX16" i="20" s="1" a="1"/>
  <c r="AX16" i="20" s="1"/>
  <c r="AW17" i="20"/>
  <c r="AX17" i="20" s="1" a="1"/>
  <c r="AX17" i="20" s="1"/>
  <c r="AW21" i="20"/>
  <c r="AX21" i="20" s="1" a="1"/>
  <c r="AX21" i="20" s="1"/>
  <c r="AW22" i="20"/>
  <c r="AX22" i="20" s="1" a="1"/>
  <c r="AX22" i="20" s="1"/>
  <c r="AR3" i="20"/>
  <c r="AS7" i="20"/>
  <c r="AS3" i="20" s="1"/>
  <c r="AU22" i="20"/>
  <c r="AV22" i="20" s="1" a="1"/>
  <c r="AV22" i="20" s="1"/>
  <c r="AU21" i="20"/>
  <c r="AV21" i="20" s="1" a="1"/>
  <c r="AV21" i="20" s="1"/>
  <c r="AU20" i="20"/>
  <c r="AV20" i="20" s="1" a="1"/>
  <c r="AV20" i="20" s="1"/>
  <c r="AU17" i="20"/>
  <c r="AV17" i="20" s="1" a="1"/>
  <c r="AV17" i="20" s="1"/>
  <c r="AU16" i="20"/>
  <c r="AV16" i="20" s="1" a="1"/>
  <c r="AV16" i="20" s="1"/>
  <c r="AU15" i="20"/>
  <c r="AV15" i="20" s="1" a="1"/>
  <c r="AV15" i="20" s="1"/>
  <c r="AF37" i="20"/>
  <c r="AH37" i="20"/>
  <c r="AG37" i="20"/>
  <c r="AC6" i="20"/>
  <c r="AC55" i="20" s="1"/>
  <c r="AB56" i="20" s="1"/>
  <c r="AB55" i="20"/>
  <c r="AJ37" i="20"/>
  <c r="AI37" i="20"/>
  <c r="C53" i="20"/>
  <c r="CE7" i="20" l="1"/>
  <c r="CH6" i="20"/>
  <c r="CC4" i="20" s="1"/>
  <c r="CF7" i="20"/>
  <c r="CD7" i="20"/>
  <c r="CG7" i="20"/>
  <c r="BO10" i="20"/>
  <c r="BO8" i="20"/>
  <c r="BM7" i="20"/>
  <c r="BO7" i="20"/>
  <c r="BP7" i="20"/>
  <c r="BN7" i="20"/>
  <c r="BN10" i="20"/>
  <c r="BP10" i="20"/>
  <c r="BM10" i="20"/>
  <c r="BL6" i="20"/>
  <c r="BN8" i="20"/>
  <c r="BM8" i="20"/>
  <c r="BP8" i="20"/>
  <c r="BM9" i="20"/>
  <c r="BN9" i="20"/>
  <c r="BP9" i="20"/>
  <c r="BO9" i="20"/>
  <c r="AR2" i="20"/>
  <c r="D49" i="20"/>
  <c r="D51" i="20"/>
  <c r="D50" i="20"/>
  <c r="D48" i="20"/>
  <c r="BP6" i="20" l="1"/>
  <c r="BL11" i="20"/>
  <c r="BO6" i="20"/>
  <c r="BM6" i="20"/>
  <c r="BN6" i="20"/>
  <c r="D53" i="20"/>
  <c r="BK4" i="2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7D1D75-BDF3-4B90-A840-522CAC23CED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AB65095-3EBB-4977-9090-CC5BEC3C84EF}" name="WorksheetConnection_Superstore Raw Data.xlsx!Table_1" type="102" refreshedVersion="8" minRefreshableVersion="5">
    <extLst>
      <ext xmlns:x15="http://schemas.microsoft.com/office/spreadsheetml/2010/11/main" uri="{DE250136-89BD-433C-8126-D09CA5730AF9}">
        <x15:connection id="Table_1" autoDelete="1">
          <x15:rangePr sourceName="_xlcn.WorksheetConnection_SuperstoreRawData.xlsxTable_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<sst xmlns="http://schemas.openxmlformats.org/spreadsheetml/2006/main" count="25672" uniqueCount="3113">
  <si>
    <t>Customer ID</t>
  </si>
  <si>
    <t>Customer Name</t>
  </si>
  <si>
    <t>Order Priority</t>
  </si>
  <si>
    <t>Discount</t>
  </si>
  <si>
    <t>Unit Price</t>
  </si>
  <si>
    <t>Shipping Cost</t>
  </si>
  <si>
    <t>Ship Mode</t>
  </si>
  <si>
    <t>Customer Segment</t>
  </si>
  <si>
    <t>Product Category</t>
  </si>
  <si>
    <t>Product Sub-Category</t>
  </si>
  <si>
    <t>Product Container</t>
  </si>
  <si>
    <t>Product Name</t>
  </si>
  <si>
    <t>Product Base Margin</t>
  </si>
  <si>
    <t>Country</t>
  </si>
  <si>
    <t>Region</t>
  </si>
  <si>
    <t>State or Province</t>
  </si>
  <si>
    <t>City</t>
  </si>
  <si>
    <t>Postal Code</t>
  </si>
  <si>
    <t>Order Date</t>
  </si>
  <si>
    <t>Ship Date</t>
  </si>
  <si>
    <t>Profit</t>
  </si>
  <si>
    <t>Quantity ordered new</t>
  </si>
  <si>
    <t>Sales</t>
  </si>
  <si>
    <t>Order ID</t>
  </si>
  <si>
    <t>Manager</t>
  </si>
  <si>
    <t>Gary Koch</t>
  </si>
  <si>
    <t>Critical</t>
  </si>
  <si>
    <t>Delivery Truck</t>
  </si>
  <si>
    <t>Small Business</t>
  </si>
  <si>
    <t>Furniture</t>
  </si>
  <si>
    <t>Tables</t>
  </si>
  <si>
    <t>Jumbo Box</t>
  </si>
  <si>
    <t>Bretford CR4500 Series Slim Rectangular Table</t>
  </si>
  <si>
    <t>United States</t>
  </si>
  <si>
    <t>South</t>
  </si>
  <si>
    <t>Mississippi</t>
  </si>
  <si>
    <t>Clinton</t>
  </si>
  <si>
    <t>Paige Powers</t>
  </si>
  <si>
    <t>High</t>
  </si>
  <si>
    <t>Regular Air</t>
  </si>
  <si>
    <t>Consumer</t>
  </si>
  <si>
    <t>Technology</t>
  </si>
  <si>
    <t>Computer Peripherals</t>
  </si>
  <si>
    <t>Small Pack</t>
  </si>
  <si>
    <t>Verbatim DVD-RAM, 9.4GB, Rewritable, Type 1, DS, DataLife Plus</t>
  </si>
  <si>
    <t>Arkansas</t>
  </si>
  <si>
    <t>West Memphis</t>
  </si>
  <si>
    <t>Rebecca Lindsey</t>
  </si>
  <si>
    <t>Low</t>
  </si>
  <si>
    <t>Office Supplies</t>
  </si>
  <si>
    <t>Pens &amp; Art Supplies</t>
  </si>
  <si>
    <t>Wrap Bag</t>
  </si>
  <si>
    <t>*Staples* Highlighting Markers</t>
  </si>
  <si>
    <t>Central</t>
  </si>
  <si>
    <t>Indiana</t>
  </si>
  <si>
    <t>Kokomo</t>
  </si>
  <si>
    <t>Gregory Crane</t>
  </si>
  <si>
    <t>Office Machines</t>
  </si>
  <si>
    <t>Jumbo Drum</t>
  </si>
  <si>
    <t>Lexmark 4227 Plus Dot Matrix Printer</t>
  </si>
  <si>
    <t>West</t>
  </si>
  <si>
    <t>Colorado</t>
  </si>
  <si>
    <t>Fort Collins</t>
  </si>
  <si>
    <t>Tamara Dickinson</t>
  </si>
  <si>
    <t>Copiers and Fax</t>
  </si>
  <si>
    <t>Large Box</t>
  </si>
  <si>
    <t>Canon PC940 Copier</t>
  </si>
  <si>
    <t>Washington</t>
  </si>
  <si>
    <t>Mount Vernon</t>
  </si>
  <si>
    <t>Newell 312</t>
  </si>
  <si>
    <t>Sean Stephenson</t>
  </si>
  <si>
    <t>Home Office</t>
  </si>
  <si>
    <t>Binders and Binder Accessories</t>
  </si>
  <si>
    <t>Small Box</t>
  </si>
  <si>
    <t>Binding Machine Supplies</t>
  </si>
  <si>
    <t>Georgia</t>
  </si>
  <si>
    <t>Peachtree City</t>
  </si>
  <si>
    <t>Albert Frost</t>
  </si>
  <si>
    <t>Storage &amp; Organization</t>
  </si>
  <si>
    <t>Fellowes Super Stor/Drawer® Files</t>
  </si>
  <si>
    <t>Missouri</t>
  </si>
  <si>
    <t>Raytown</t>
  </si>
  <si>
    <t>Jane Shah</t>
  </si>
  <si>
    <t>Avery Trapezoid Ring Binder, 3" Capacity, Black, 1040 sheets</t>
  </si>
  <si>
    <t>Minnesota</t>
  </si>
  <si>
    <t>Prior Lake</t>
  </si>
  <si>
    <t>Alex Nicholson</t>
  </si>
  <si>
    <t>Express Air</t>
  </si>
  <si>
    <t>Paper</t>
  </si>
  <si>
    <t>Black Print Carbonless Snap-Off® Rapid Letter, 8 1/2" x 7"</t>
  </si>
  <si>
    <t>California</t>
  </si>
  <si>
    <t>Montebello</t>
  </si>
  <si>
    <t>White GlueTop Scratch Pads</t>
  </si>
  <si>
    <t>Lloyd Levin</t>
  </si>
  <si>
    <t>Corporate</t>
  </si>
  <si>
    <t>Appliances</t>
  </si>
  <si>
    <t>Tripp Lite Isotel 6 Outlet Surge Protector with Fax/Modem Protection</t>
  </si>
  <si>
    <t>North Carolina</t>
  </si>
  <si>
    <t>New Bern</t>
  </si>
  <si>
    <t>Ernest Oh</t>
  </si>
  <si>
    <t>Los Angeles</t>
  </si>
  <si>
    <t>Carmen McPherson</t>
  </si>
  <si>
    <t>Epson LQ-570e Dot Matrix Printer</t>
  </si>
  <si>
    <t>Illinois</t>
  </si>
  <si>
    <t>Carol Stream</t>
  </si>
  <si>
    <t>Ellen McCormick</t>
  </si>
  <si>
    <t>Dual Level, Single-Width Filing Carts</t>
  </si>
  <si>
    <t>Napa</t>
  </si>
  <si>
    <t>Scott Bunn</t>
  </si>
  <si>
    <t>Chairs &amp; Chairmats</t>
  </si>
  <si>
    <t>Hon 4070 Series Pagoda™ Armless Upholstered Stacking Chairs</t>
  </si>
  <si>
    <t>East</t>
  </si>
  <si>
    <t>New York</t>
  </si>
  <si>
    <t>New York City</t>
  </si>
  <si>
    <t>Hon Valutask™ Swivel Chairs</t>
  </si>
  <si>
    <t>Robin Kramer Vaughn</t>
  </si>
  <si>
    <t>Medium</t>
  </si>
  <si>
    <t>Bookcases</t>
  </si>
  <si>
    <t>Bush Westfield Collection Bookcases, Fully Assembled</t>
  </si>
  <si>
    <t>Richland</t>
  </si>
  <si>
    <t>Xerox 1952</t>
  </si>
  <si>
    <t>Allan Shields</t>
  </si>
  <si>
    <t>Maxell Pro 80 Minute CD-R, 10/Pack</t>
  </si>
  <si>
    <t>Florida</t>
  </si>
  <si>
    <t>Seminole</t>
  </si>
  <si>
    <t>Kim Weiss</t>
  </si>
  <si>
    <t>Office Furnishings</t>
  </si>
  <si>
    <t>GE 48" Fluorescent Tube, Cool White Energy Saver, 34 Watts, 30/Box</t>
  </si>
  <si>
    <t>Miami</t>
  </si>
  <si>
    <t>Juanita Coley Knox</t>
  </si>
  <si>
    <t>Watertown</t>
  </si>
  <si>
    <t>Roger Schwartz</t>
  </si>
  <si>
    <t>Xerox 4200 Series MultiUse Premium Copy Paper (20Lb. and 84 Bright)</t>
  </si>
  <si>
    <t>Nebraska</t>
  </si>
  <si>
    <t>Kearney</t>
  </si>
  <si>
    <t>Telephones and Communication</t>
  </si>
  <si>
    <t>T18</t>
  </si>
  <si>
    <t>Ron Newton</t>
  </si>
  <si>
    <t>Dixon Prang® Watercolor Pencils, 10-Color Set with Brush</t>
  </si>
  <si>
    <t>Oregon</t>
  </si>
  <si>
    <t>Lake Oswego</t>
  </si>
  <si>
    <t>Linda Weiss</t>
  </si>
  <si>
    <t>Seattle</t>
  </si>
  <si>
    <t>Anna Burgess</t>
  </si>
  <si>
    <t>Medium Box</t>
  </si>
  <si>
    <t>36X48 HARDFLOOR CHAIRMAT</t>
  </si>
  <si>
    <t>Utah</t>
  </si>
  <si>
    <t>Draper</t>
  </si>
  <si>
    <t>Mary Hewitt</t>
  </si>
  <si>
    <t>Bush Mission Pointe Library</t>
  </si>
  <si>
    <t>Gladstone</t>
  </si>
  <si>
    <t>Beth Dolan</t>
  </si>
  <si>
    <t>Labels</t>
  </si>
  <si>
    <t>Round Specialty Laser Printer Labels</t>
  </si>
  <si>
    <t>Panama City</t>
  </si>
  <si>
    <t>Bevis Round Conference Table Top &amp; Single Column Base</t>
  </si>
  <si>
    <t>Joe Baldwin</t>
  </si>
  <si>
    <t>Troy Casey</t>
  </si>
  <si>
    <t>Xerox 227</t>
  </si>
  <si>
    <t>Edina</t>
  </si>
  <si>
    <t>Lucille Gibbons</t>
  </si>
  <si>
    <t>Peel-Off® China Markers</t>
  </si>
  <si>
    <t>Marshall Sutherland</t>
  </si>
  <si>
    <t>Bush Advantage Collection® Round Conference Table</t>
  </si>
  <si>
    <t>Alabama</t>
  </si>
  <si>
    <t>Phenix City</t>
  </si>
  <si>
    <t>Janice Cole</t>
  </si>
  <si>
    <t>Fellowes Mobile Numeric Keypad, Graphite</t>
  </si>
  <si>
    <t>Louisiana</t>
  </si>
  <si>
    <t>Baton Rouge</t>
  </si>
  <si>
    <t>Polycom ViaVideo™ Desktop Video Communications Unit</t>
  </si>
  <si>
    <t>Staples Wirebound Steno Books, 6" x 9", 12/Pack</t>
  </si>
  <si>
    <t>Miriam Greenberg</t>
  </si>
  <si>
    <t>Riverleaf Stik-Withit® Designer Note Cubes®</t>
  </si>
  <si>
    <t>Valparaiso</t>
  </si>
  <si>
    <t>Matthew Conway</t>
  </si>
  <si>
    <t>Rubber Bands</t>
  </si>
  <si>
    <t>Binder Clips by OIC</t>
  </si>
  <si>
    <t>Ithaca</t>
  </si>
  <si>
    <t>Danny Hong</t>
  </si>
  <si>
    <t>Panasonic KX-P2130 Dot Matrix Printer</t>
  </si>
  <si>
    <t>Layton</t>
  </si>
  <si>
    <t>Eddie Walker</t>
  </si>
  <si>
    <t>Okidata ML320 Series Turbo Dot Matrix Printers</t>
  </si>
  <si>
    <t>Brooklyn Park</t>
  </si>
  <si>
    <t>Maureen Stout</t>
  </si>
  <si>
    <t>Cardinal Poly Pocket Divider Pockets for Ring Binders</t>
  </si>
  <si>
    <t>Texas</t>
  </si>
  <si>
    <t>Pharr</t>
  </si>
  <si>
    <t>"While you Were Out" Message Book, One Form per Page</t>
  </si>
  <si>
    <t>Carol Sherrill</t>
  </si>
  <si>
    <t>Office Star - Professional Matrix Back Chair with 2-to-1 Synchro Tilt and Mesh Fabric Seat</t>
  </si>
  <si>
    <t>Bryan</t>
  </si>
  <si>
    <t>Debbie Dillon</t>
  </si>
  <si>
    <t>Eldon Antistatic Chair Mats for Low to Medium Pile Carpets</t>
  </si>
  <si>
    <t>Roswell</t>
  </si>
  <si>
    <t>Marion Wilcox</t>
  </si>
  <si>
    <t>Burleson</t>
  </si>
  <si>
    <t>Russell Chan</t>
  </si>
  <si>
    <t>Hoover WindTunnel™ Plus Canister Vacuum</t>
  </si>
  <si>
    <t>Waco</t>
  </si>
  <si>
    <t>Billie Fowler</t>
  </si>
  <si>
    <t>Metal Folding Chairs, Beige, 4/Carton</t>
  </si>
  <si>
    <t>Bedford</t>
  </si>
  <si>
    <t>232</t>
  </si>
  <si>
    <t>Betsy Puckett</t>
  </si>
  <si>
    <t>Electrix Halogen Magnifier Lamp</t>
  </si>
  <si>
    <t>Oklahoma</t>
  </si>
  <si>
    <t>Norman</t>
  </si>
  <si>
    <t>Luxo Professional Fluorescent Magnifier Lamp with Clamp-Mount Base</t>
  </si>
  <si>
    <t>Panasonic KX-P1150 Dot Matrix Printer</t>
  </si>
  <si>
    <t>Bobby Powell</t>
  </si>
  <si>
    <t>Memorex 4.7GB DVD+RW, 3/Pack</t>
  </si>
  <si>
    <t>Iowa</t>
  </si>
  <si>
    <t>Fort Dodge</t>
  </si>
  <si>
    <t>3285</t>
  </si>
  <si>
    <t>Guy McDonald</t>
  </si>
  <si>
    <t>Canon S750 Color Inkjet Printer</t>
  </si>
  <si>
    <t>Mount Prospect</t>
  </si>
  <si>
    <t>Joyce Murray</t>
  </si>
  <si>
    <t>GBC Instant Index™ System for Binding Systems</t>
  </si>
  <si>
    <t>Los Altos</t>
  </si>
  <si>
    <t>Avery 514</t>
  </si>
  <si>
    <t>Keith Marsh</t>
  </si>
  <si>
    <t>Carina Double Wide Media Storage Towers in Natural &amp; Black</t>
  </si>
  <si>
    <t>Tennsco Snap-Together Open Shelving Units, Starter Sets and Add-On Units</t>
  </si>
  <si>
    <t>Marion Lindsey</t>
  </si>
  <si>
    <t>Commerce City</t>
  </si>
  <si>
    <t>Elisabeth Shaw</t>
  </si>
  <si>
    <t>Perma STOR-ALL™ Hanging File Box, 13 1/8"W x 12 1/4"D x 10 1/2"H</t>
  </si>
  <si>
    <t>Ormond Beach</t>
  </si>
  <si>
    <t>Ted Dunlap</t>
  </si>
  <si>
    <t>Rediform Wirebound "Phone Memo" Message Book, 11 x 5-3/4</t>
  </si>
  <si>
    <t>Deer Park</t>
  </si>
  <si>
    <t>Melinda Rogers</t>
  </si>
  <si>
    <t>Hon Deluxe Fabric Upholstered Stacking Chairs, Rounded Back</t>
  </si>
  <si>
    <t>Dubuque</t>
  </si>
  <si>
    <t>Derek Jernigan</t>
  </si>
  <si>
    <t>Riverside Palais Royal Lawyers Bookcase, Royale Cherry Finish</t>
  </si>
  <si>
    <t>Galesburg</t>
  </si>
  <si>
    <t>Kyle Fink</t>
  </si>
  <si>
    <t>Sanford EarthWrite® Recycled Pencils, Medium Soft, #2</t>
  </si>
  <si>
    <t>Virginia</t>
  </si>
  <si>
    <t>Petersburg</t>
  </si>
  <si>
    <t>Lawrence Dennis</t>
  </si>
  <si>
    <t>Newell 342</t>
  </si>
  <si>
    <t>San Clemente</t>
  </si>
  <si>
    <t>Carlos Byrd</t>
  </si>
  <si>
    <t>Connecticut</t>
  </si>
  <si>
    <t>Bristol</t>
  </si>
  <si>
    <t>Stacey Lucas</t>
  </si>
  <si>
    <t>Wilson Jones Hanging View Binder, White, 1"</t>
  </si>
  <si>
    <t>Cedar Falls</t>
  </si>
  <si>
    <t>Fellowes Basic 104-Key Keyboard, Platinum</t>
  </si>
  <si>
    <t>Suzanne Cochran</t>
  </si>
  <si>
    <t>Ibico Recycled Linen-Style Covers</t>
  </si>
  <si>
    <t>Cedar Rapids</t>
  </si>
  <si>
    <t>Self-Adhesive Ring Binder Labels</t>
  </si>
  <si>
    <t>Tenex File Box, Personal Filing Tote with Lid, Black</t>
  </si>
  <si>
    <t>Courtney Boyd</t>
  </si>
  <si>
    <t>Tennsco Commercial Shelving</t>
  </si>
  <si>
    <t>Fairfax</t>
  </si>
  <si>
    <t>Anna Wood</t>
  </si>
  <si>
    <t>Utica</t>
  </si>
  <si>
    <t>252</t>
  </si>
  <si>
    <t>Carrie McIntosh</t>
  </si>
  <si>
    <t>GBC VeloBinder Strips</t>
  </si>
  <si>
    <t>Royal Palm Beach</t>
  </si>
  <si>
    <t>G.E. Longer-Life Indoor Recessed Floodlight Bulbs</t>
  </si>
  <si>
    <t>Lee McKenna Gregory</t>
  </si>
  <si>
    <t>Novimex Swivel Fabric Task Chair</t>
  </si>
  <si>
    <t>South Carolina</t>
  </si>
  <si>
    <t>Hilton Head Island</t>
  </si>
  <si>
    <t>Eldon Portable Mobile Manager</t>
  </si>
  <si>
    <t>Accessory35</t>
  </si>
  <si>
    <t>Leslie Shannon</t>
  </si>
  <si>
    <t>Xerox 1986</t>
  </si>
  <si>
    <t>Montana</t>
  </si>
  <si>
    <t>Butte</t>
  </si>
  <si>
    <t>Glen Robertson</t>
  </si>
  <si>
    <t>Belkin F9M820V08 8 Outlet Surge</t>
  </si>
  <si>
    <t>Coon Rapids</t>
  </si>
  <si>
    <t>Holmes HEPA Air Purifier</t>
  </si>
  <si>
    <t>Ricky Garner</t>
  </si>
  <si>
    <t>BASF Silver 74 Minute CD-R</t>
  </si>
  <si>
    <t>Herndon</t>
  </si>
  <si>
    <t>Xerox 19</t>
  </si>
  <si>
    <t>Howard Rogers</t>
  </si>
  <si>
    <t>Coloredge Poster Frame</t>
  </si>
  <si>
    <t>Michigan</t>
  </si>
  <si>
    <t>Southgate</t>
  </si>
  <si>
    <t>Bonnie Potter</t>
  </si>
  <si>
    <t>SANFORD Liquid Accent™ Tank-Style Highlighters</t>
  </si>
  <si>
    <t>Anacortes</t>
  </si>
  <si>
    <t>Leah Clapp</t>
  </si>
  <si>
    <t>GBC Pre-Punched Binding Paper, Plastic, White, 8-1/2" x 11"</t>
  </si>
  <si>
    <t>Nevada</t>
  </si>
  <si>
    <t>Las Vegas</t>
  </si>
  <si>
    <t>i1000</t>
  </si>
  <si>
    <t>Jackie Capps</t>
  </si>
  <si>
    <t>Master Caster Door Stop, Brown</t>
  </si>
  <si>
    <t>San Carlos</t>
  </si>
  <si>
    <t>Jamie Manning</t>
  </si>
  <si>
    <t>Melrose Park</t>
  </si>
  <si>
    <t>Carole Creech</t>
  </si>
  <si>
    <t>File Shuttle II and Handi-File, Black</t>
  </si>
  <si>
    <t>Lake Worth</t>
  </si>
  <si>
    <t>James Hunter</t>
  </si>
  <si>
    <t>Keytronic French Keyboard</t>
  </si>
  <si>
    <t>Lubbock</t>
  </si>
  <si>
    <t>Don Rogers</t>
  </si>
  <si>
    <t>Avery Reinforcements for Hole-Punch Pages</t>
  </si>
  <si>
    <t>Franklin Square</t>
  </si>
  <si>
    <t>Canon PC1060 Personal Laser Copier</t>
  </si>
  <si>
    <t>Polycom ViewStation™ ISDN Videoconferencing Unit</t>
  </si>
  <si>
    <t>Peter Hardy</t>
  </si>
  <si>
    <t>O'Sullivan Cherrywood Estates Traditional Barrister Bookcase</t>
  </si>
  <si>
    <t>Ohio</t>
  </si>
  <si>
    <t>Stow</t>
  </si>
  <si>
    <t>Andrew Levine</t>
  </si>
  <si>
    <t>Pennsylvania</t>
  </si>
  <si>
    <t>Philadelphia</t>
  </si>
  <si>
    <t>Eugene Clayton</t>
  </si>
  <si>
    <t>GBC DocuBind TL300 Electric Binding System</t>
  </si>
  <si>
    <t>Edmonds</t>
  </si>
  <si>
    <t>Robyn Lyon</t>
  </si>
  <si>
    <t>Avery 491</t>
  </si>
  <si>
    <t>Garfield Heights</t>
  </si>
  <si>
    <t>Executive Impressions 14" Two-Color Numerals Wall Clock</t>
  </si>
  <si>
    <t>Pauline Brooks</t>
  </si>
  <si>
    <t>Fellowes Black Plastic Comb Bindings</t>
  </si>
  <si>
    <t>Maine</t>
  </si>
  <si>
    <t>Sanford</t>
  </si>
  <si>
    <t>Nathan Fox</t>
  </si>
  <si>
    <t>Acco 6 Outlet Guardian Premium Surge Suppressor</t>
  </si>
  <si>
    <t>Myrtle Beach</t>
  </si>
  <si>
    <t>Judy Singer</t>
  </si>
  <si>
    <t>VTech VT20-2481 2.4GHz Two-Line Phone System w/Answering Machine</t>
  </si>
  <si>
    <t>Neil Parker</t>
  </si>
  <si>
    <t>Boston School Pro Electric Pencil Sharpener, 1670</t>
  </si>
  <si>
    <t>Decatur</t>
  </si>
  <si>
    <t>Brad Stark</t>
  </si>
  <si>
    <t>GBC DocuBind 300 Electric Binding Machine</t>
  </si>
  <si>
    <t>Eden</t>
  </si>
  <si>
    <t>Melvin Benton</t>
  </si>
  <si>
    <t>Envelopes</t>
  </si>
  <si>
    <t>Staples Brown Kraft Recycled Clasp Envelopes</t>
  </si>
  <si>
    <t>Encinitas</t>
  </si>
  <si>
    <t>4009® Highlighters by Sanford</t>
  </si>
  <si>
    <t>Gerald Love</t>
  </si>
  <si>
    <t>Boston 16765 Mini Stand Up Battery Pencil Sharpener</t>
  </si>
  <si>
    <t>Gilroy</t>
  </si>
  <si>
    <t>Chris F Brandt</t>
  </si>
  <si>
    <t>M70</t>
  </si>
  <si>
    <t>King of Prussia</t>
  </si>
  <si>
    <t>Karl Knowles</t>
  </si>
  <si>
    <t>12 Colored Short Pencils</t>
  </si>
  <si>
    <t>Wisconsin</t>
  </si>
  <si>
    <t>Madison</t>
  </si>
  <si>
    <t>Herbert Holden</t>
  </si>
  <si>
    <t>Avery 05222 Permanent Self-Adhesive File Folder Labels for Typewriters, on Rolls, White, 250/Roll</t>
  </si>
  <si>
    <t>Atlanta</t>
  </si>
  <si>
    <t>Sherri P Stephens</t>
  </si>
  <si>
    <t>Lawton</t>
  </si>
  <si>
    <t>Harry Sellers</t>
  </si>
  <si>
    <t>Acco PRESSTEX® Data Binder with Storage Hooks, Dark Blue, 9 1/2" X 11"</t>
  </si>
  <si>
    <t>Pasadena</t>
  </si>
  <si>
    <t>Newell 337</t>
  </si>
  <si>
    <t>Melanie Knight</t>
  </si>
  <si>
    <t>Newell 339</t>
  </si>
  <si>
    <t>Augusta</t>
  </si>
  <si>
    <t>EcoTones® Memo Sheets</t>
  </si>
  <si>
    <t>Gail Rankin Cole</t>
  </si>
  <si>
    <t>Document Clip Frames</t>
  </si>
  <si>
    <t>District of Columbia</t>
  </si>
  <si>
    <t>Jennifer Siegel</t>
  </si>
  <si>
    <t>Denton</t>
  </si>
  <si>
    <t>Sherri F Vogel</t>
  </si>
  <si>
    <t>Hon Metal Bookcases, Putty</t>
  </si>
  <si>
    <t>East Lansing</t>
  </si>
  <si>
    <t>Newell 309</t>
  </si>
  <si>
    <t>Canon PC1080F Personal Copier</t>
  </si>
  <si>
    <t>Newell 318</t>
  </si>
  <si>
    <t>Philip Hawkins</t>
  </si>
  <si>
    <t>Fellowes Internet Keyboard, Platinum</t>
  </si>
  <si>
    <t>Hazelwood</t>
  </si>
  <si>
    <t>Sylvia Kumar</t>
  </si>
  <si>
    <t>Panasonic KX-P3200 Dot Matrix Printer</t>
  </si>
  <si>
    <t>Kentucky</t>
  </si>
  <si>
    <t>Pleasure Ridge Park</t>
  </si>
  <si>
    <t>Cameron Kendall</t>
  </si>
  <si>
    <t>Imation 3.5, DISKETTE 44766 HGHLD3.52HD/FM, 10/Pack</t>
  </si>
  <si>
    <t>Pittsburgh</t>
  </si>
  <si>
    <t>Tammy Goldman</t>
  </si>
  <si>
    <t>Xerox 1996</t>
  </si>
  <si>
    <t>Lehi</t>
  </si>
  <si>
    <t>Dorothy Buchanan</t>
  </si>
  <si>
    <t>New Jersey</t>
  </si>
  <si>
    <t>Bayonne</t>
  </si>
  <si>
    <t>Vicki Hauser</t>
  </si>
  <si>
    <t>Tennessee</t>
  </si>
  <si>
    <t>Lebanon</t>
  </si>
  <si>
    <t>Marc Nash</t>
  </si>
  <si>
    <t>Massachusetts</t>
  </si>
  <si>
    <t>Bellingham</t>
  </si>
  <si>
    <t>Maria Thomas</t>
  </si>
  <si>
    <t>Tensor "Hersey Kiss" Styled Floor Lamp</t>
  </si>
  <si>
    <t>Beverly</t>
  </si>
  <si>
    <t>Craig Bennett</t>
  </si>
  <si>
    <t>Holmes Odor Grabber</t>
  </si>
  <si>
    <t>Hanson</t>
  </si>
  <si>
    <t>Marion Bowling</t>
  </si>
  <si>
    <t>Eldon Image Series Black Desk Accessories</t>
  </si>
  <si>
    <t>Hawthorne</t>
  </si>
  <si>
    <t>Tony Doyle</t>
  </si>
  <si>
    <t>Xerox 188</t>
  </si>
  <si>
    <t>Trenton</t>
  </si>
  <si>
    <t>April Henson</t>
  </si>
  <si>
    <t>Maryland</t>
  </si>
  <si>
    <t>Gaithersburg</t>
  </si>
  <si>
    <t>Prang Dustless Chalk Sticks</t>
  </si>
  <si>
    <t>Helen H Murphy</t>
  </si>
  <si>
    <t>Avery 51</t>
  </si>
  <si>
    <t>6185</t>
  </si>
  <si>
    <t>Harriet Hodges</t>
  </si>
  <si>
    <t>Lexmark Z55se Color Inkjet Printer</t>
  </si>
  <si>
    <t>Jordan Berry</t>
  </si>
  <si>
    <t>Altoona</t>
  </si>
  <si>
    <t>Sidney Greenberg</t>
  </si>
  <si>
    <t>3M Polarizing Task Lamp with Clamp Arm, Light Gray</t>
  </si>
  <si>
    <t>Salinas</t>
  </si>
  <si>
    <t>Christian Albright</t>
  </si>
  <si>
    <t>Eldon Expressions Mahogany Wood Desk Collection</t>
  </si>
  <si>
    <t>Smyrna</t>
  </si>
  <si>
    <t>Joann Moser</t>
  </si>
  <si>
    <t>Atlantic Metals Mobile 3-Shelf Bookcases, Custom Colors</t>
  </si>
  <si>
    <t>Spring Hill</t>
  </si>
  <si>
    <t>Robyn Zhou</t>
  </si>
  <si>
    <t>Global Leather Executive Chair</t>
  </si>
  <si>
    <t>Englewood</t>
  </si>
  <si>
    <t>#10- 4 1/8" x 9 1/2" Recycled Envelopes</t>
  </si>
  <si>
    <t>Brites Rubber Bands, 1 1/2 oz. Box</t>
  </si>
  <si>
    <t>Becky Farmer</t>
  </si>
  <si>
    <t>Verbatim DVD-RAM, 5.2GB, Rewritable, Type 1, DS</t>
  </si>
  <si>
    <t>Lansing</t>
  </si>
  <si>
    <t>Elsie Boykin</t>
  </si>
  <si>
    <t>Targus USB Numeric Keypad</t>
  </si>
  <si>
    <t>Fort Thomas</t>
  </si>
  <si>
    <t>Jordan Wilkinson</t>
  </si>
  <si>
    <t>Fellowes Super Stor/Drawer®</t>
  </si>
  <si>
    <t>Florence</t>
  </si>
  <si>
    <t>Craig Liu</t>
  </si>
  <si>
    <t>6120</t>
  </si>
  <si>
    <t>Concord</t>
  </si>
  <si>
    <t>Pauline Finch</t>
  </si>
  <si>
    <t>TDK 4.7GB DVD-R</t>
  </si>
  <si>
    <t>Costa Mesa</t>
  </si>
  <si>
    <t>Sean N Boyer</t>
  </si>
  <si>
    <t>Lynn Hines</t>
  </si>
  <si>
    <t>Eldon® Wave Desk Accessories</t>
  </si>
  <si>
    <t>College Park</t>
  </si>
  <si>
    <t>Gregory Rao</t>
  </si>
  <si>
    <t>Xerox 1910</t>
  </si>
  <si>
    <t>Manteca</t>
  </si>
  <si>
    <t>Katharine Bass</t>
  </si>
  <si>
    <t>Bell Sonecor JB700 Caller ID</t>
  </si>
  <si>
    <t>Henderson</t>
  </si>
  <si>
    <t>Gordon Lyon</t>
  </si>
  <si>
    <t>Hoover Portapower™ Portable Vacuum</t>
  </si>
  <si>
    <t>Pomona</t>
  </si>
  <si>
    <t>Mike G Hartman</t>
  </si>
  <si>
    <t>Xerox 1903</t>
  </si>
  <si>
    <t>Pembroke Pines</t>
  </si>
  <si>
    <t>Phillip Blum</t>
  </si>
  <si>
    <t>i1000plus</t>
  </si>
  <si>
    <t>Troutdale</t>
  </si>
  <si>
    <t>Jean Webster</t>
  </si>
  <si>
    <t>Hoover Commercial Soft Guard Upright Vacuum And Disposable Filtration Bags</t>
  </si>
  <si>
    <t>Allentown</t>
  </si>
  <si>
    <t>Xerox 1939</t>
  </si>
  <si>
    <t>Hewlett-Packard Deskjet 5550 Color Inkjet Printer</t>
  </si>
  <si>
    <t>Newell 336</t>
  </si>
  <si>
    <t>Debbie Stevenson</t>
  </si>
  <si>
    <t>Economy Rollaway Files</t>
  </si>
  <si>
    <t>West Hollywood</t>
  </si>
  <si>
    <t>Clarence Crowder</t>
  </si>
  <si>
    <t>Wirebound Four 2-3/4 x 5 Forms per Page, 400 Sets per Book</t>
  </si>
  <si>
    <t>Lacey</t>
  </si>
  <si>
    <t>Leroy Field</t>
  </si>
  <si>
    <t>Telescoping Adjustable Floor Lamp</t>
  </si>
  <si>
    <t>Idaho</t>
  </si>
  <si>
    <t>Post Falls</t>
  </si>
  <si>
    <t>Harriet Moore</t>
  </si>
  <si>
    <t>Hon 4070 Series Pagoda™ Round Back Stacking Chairs</t>
  </si>
  <si>
    <t>Rexburg</t>
  </si>
  <si>
    <t>Laurence Simon</t>
  </si>
  <si>
    <t>Boston 16801 Nautilus™ Battery Pencil Sharpener</t>
  </si>
  <si>
    <t>Oakville</t>
  </si>
  <si>
    <t>Robyn Crawford</t>
  </si>
  <si>
    <t>1.7 Cubic Foot Compact "Cube" Office Refrigerators</t>
  </si>
  <si>
    <t>Germantown</t>
  </si>
  <si>
    <t>Arthur Gold</t>
  </si>
  <si>
    <t>Tyvek® Side-Opening Peel &amp; Seel® Expanding Envelopes</t>
  </si>
  <si>
    <t>Hendersonville</t>
  </si>
  <si>
    <t>DAX Two-Tone Rosewood/Black Document Frame, Desktop, 5 x 7</t>
  </si>
  <si>
    <t>Kent Kerr</t>
  </si>
  <si>
    <t>Newell 335</t>
  </si>
  <si>
    <t>Knoxville</t>
  </si>
  <si>
    <t>Dawn Larson</t>
  </si>
  <si>
    <t>Newell 346</t>
  </si>
  <si>
    <t>Madison Heights</t>
  </si>
  <si>
    <t>Ernest Barber</t>
  </si>
  <si>
    <t>Memorex 4.7GB DVD+R, 3/Pack</t>
  </si>
  <si>
    <t>Carson City</t>
  </si>
  <si>
    <t>Accessory20</t>
  </si>
  <si>
    <t>Eileen Fletcher</t>
  </si>
  <si>
    <t>Pressboard Covers with Storage Hooks, 9 1/2" x 11", Light Blue</t>
  </si>
  <si>
    <t>Gary</t>
  </si>
  <si>
    <t>Canon imageCLASS 2200 Advanced Copier</t>
  </si>
  <si>
    <t>Jeremy Pratt</t>
  </si>
  <si>
    <t>Granger</t>
  </si>
  <si>
    <t>Lori Wolfe</t>
  </si>
  <si>
    <t>6" Cubicle Wall Clock, Black</t>
  </si>
  <si>
    <t>Hattiesburg</t>
  </si>
  <si>
    <t>Tina Evans</t>
  </si>
  <si>
    <t>Hammermill CopyPlus Copy Paper (20Lb. and 84 Bright)</t>
  </si>
  <si>
    <t>Lombard</t>
  </si>
  <si>
    <t>Telephone Message Books with Fax/Mobile Section, 5 1/2" x 3 3/16"</t>
  </si>
  <si>
    <t>Rhonda Ivey</t>
  </si>
  <si>
    <t>Wirebound Message Books, 2 7/8" x 5", 3 Forms per Page</t>
  </si>
  <si>
    <t>West Mifflin</t>
  </si>
  <si>
    <t>Wesley Tate</t>
  </si>
  <si>
    <t>Avery Printable Repositionable Plastic Tabs</t>
  </si>
  <si>
    <t>Chicago</t>
  </si>
  <si>
    <t>Crystal Floyd</t>
  </si>
  <si>
    <t>Battle Creek</t>
  </si>
  <si>
    <t>Patricia Cole Blair</t>
  </si>
  <si>
    <t>Kansas</t>
  </si>
  <si>
    <t>Wichita</t>
  </si>
  <si>
    <t>MicroTAC 650</t>
  </si>
  <si>
    <t>Alex Watkins</t>
  </si>
  <si>
    <t>Stockwell Push Pins</t>
  </si>
  <si>
    <t>Woodmere</t>
  </si>
  <si>
    <t>Bevis Round Conference Table Top, X-Base</t>
  </si>
  <si>
    <t>Courtney Nelson</t>
  </si>
  <si>
    <t>Rubbermaid ClusterMat Chairmats, Mat Size- 66" x 60", Lip 20" x 11" -90 Degree Angle</t>
  </si>
  <si>
    <t>Laurel</t>
  </si>
  <si>
    <t>TOPS Money Receipt Book, Consecutively Numbered in Red,</t>
  </si>
  <si>
    <t>Max Small</t>
  </si>
  <si>
    <t>Imation 3.5" Unformatted DS/HD Diskettes, 10/Box</t>
  </si>
  <si>
    <t>Bartlesville</t>
  </si>
  <si>
    <t>Miriam Mueller</t>
  </si>
  <si>
    <t>Murfreesboro</t>
  </si>
  <si>
    <t>Allison Kirby</t>
  </si>
  <si>
    <t>Dallas</t>
  </si>
  <si>
    <t>Daniel Richmond</t>
  </si>
  <si>
    <t>Premium Writing Pencils, Soft, #2 by Central Association for the Blind</t>
  </si>
  <si>
    <t>Boardman</t>
  </si>
  <si>
    <t>Holly Osborne</t>
  </si>
  <si>
    <t>Fellowes Personal Hanging Folder Files, Navy</t>
  </si>
  <si>
    <t>Hot Springs</t>
  </si>
  <si>
    <t>Kristine Singleton</t>
  </si>
  <si>
    <t>Naperville</t>
  </si>
  <si>
    <t>Assorted Color Push Pins</t>
  </si>
  <si>
    <t>Edith Reynolds</t>
  </si>
  <si>
    <t>North Dakota</t>
  </si>
  <si>
    <t>Mandan</t>
  </si>
  <si>
    <t>Xerox 1906</t>
  </si>
  <si>
    <t>Scissors, Rulers and Trimmers</t>
  </si>
  <si>
    <t>Acme® 8" Straight Scissors</t>
  </si>
  <si>
    <t>Eva Silverman</t>
  </si>
  <si>
    <t>Avery 4027 File Folder Labels for Dot Matrix Printers, 5000 Labels per Box, White</t>
  </si>
  <si>
    <t>Wilmette</t>
  </si>
  <si>
    <t>Joel Huffman</t>
  </si>
  <si>
    <t>Newell 323</t>
  </si>
  <si>
    <t>Woodridge</t>
  </si>
  <si>
    <t>Jon Ayers</t>
  </si>
  <si>
    <t>Avery 508</t>
  </si>
  <si>
    <t>Palm Coast</t>
  </si>
  <si>
    <t>Floyd Dale</t>
  </si>
  <si>
    <t>Super Bands, 12/Pack</t>
  </si>
  <si>
    <t>Troy</t>
  </si>
  <si>
    <t>Patrick Rosenthal</t>
  </si>
  <si>
    <t>Sanyo Counter Height Refrigerator with Crisper, 3.6 Cubic Foot, Stainless Steel/Black</t>
  </si>
  <si>
    <t>Rhode Island</t>
  </si>
  <si>
    <t>Cranston</t>
  </si>
  <si>
    <t>Joy Maxwell</t>
  </si>
  <si>
    <t>Hewlett-Packard 2600DN Business Color Inkjet Printer</t>
  </si>
  <si>
    <t>Arizona</t>
  </si>
  <si>
    <t>Oro Valley</t>
  </si>
  <si>
    <t>Mary Page</t>
  </si>
  <si>
    <t>Verbatim DVD-R, 4.7GB, Spindle, WE, Blank, Ink Jet/Thermal, 20/Spindle</t>
  </si>
  <si>
    <t>Peoria</t>
  </si>
  <si>
    <t>Sandra Berry</t>
  </si>
  <si>
    <t>Holmes Replacement Filter for HEPA Air Cleaner, Large Room</t>
  </si>
  <si>
    <t>Meridian</t>
  </si>
  <si>
    <t>Important Message Pads, 50 4-1/4 x 5-1/2 Forms per Pad</t>
  </si>
  <si>
    <t>Lillian Day</t>
  </si>
  <si>
    <t>Staples Standard Envelopes</t>
  </si>
  <si>
    <t>Shaker Heights</t>
  </si>
  <si>
    <t>Russell W Melton</t>
  </si>
  <si>
    <t>Maxell DVD-RAM Discs</t>
  </si>
  <si>
    <t>Northport</t>
  </si>
  <si>
    <t>Lisa Kim</t>
  </si>
  <si>
    <t>Palm Beach Gardens</t>
  </si>
  <si>
    <t>Xerox 1991</t>
  </si>
  <si>
    <t>Regeneration Desk Collection</t>
  </si>
  <si>
    <t>Amy Hamrick Melvin</t>
  </si>
  <si>
    <t>Security-Tint Envelopes</t>
  </si>
  <si>
    <t>6162</t>
  </si>
  <si>
    <t>Danielle P Rao</t>
  </si>
  <si>
    <t>Moore</t>
  </si>
  <si>
    <t>April Hu</t>
  </si>
  <si>
    <t>Staples® General Use 3-Ring Binders</t>
  </si>
  <si>
    <t>Mesa</t>
  </si>
  <si>
    <t>Xerox 1978</t>
  </si>
  <si>
    <t>Nathan Newton</t>
  </si>
  <si>
    <t>High Point</t>
  </si>
  <si>
    <t>Katharine Hudson</t>
  </si>
  <si>
    <t>Boston Model 1800 Electric Pencil Sharpener, Gray</t>
  </si>
  <si>
    <t>Clarksville</t>
  </si>
  <si>
    <t>Danny Richmond</t>
  </si>
  <si>
    <t>Avery Arch Ring Binders</t>
  </si>
  <si>
    <t>Marsha Roy</t>
  </si>
  <si>
    <t>Peel &amp; Seel® Recycled Catalog Envelopes, Brown</t>
  </si>
  <si>
    <t>Tupelo</t>
  </si>
  <si>
    <t>Priscilla Brandon</t>
  </si>
  <si>
    <t>Willow Grove</t>
  </si>
  <si>
    <t>AT&amp;T Black Trimline Phone, Model 210</t>
  </si>
  <si>
    <t>Derek McCormick</t>
  </si>
  <si>
    <t>Computer Printout Paper with Letter-Trim Perforations</t>
  </si>
  <si>
    <t>Oxford</t>
  </si>
  <si>
    <t>Marjorie Arthur</t>
  </si>
  <si>
    <t>Vermont</t>
  </si>
  <si>
    <t>South Burlington</t>
  </si>
  <si>
    <t>Milton Lindsay</t>
  </si>
  <si>
    <t>Kensington 7 Outlet MasterPiece Power Center with Fax/Phone Line Protection</t>
  </si>
  <si>
    <t>Hamilton</t>
  </si>
  <si>
    <t>Edward Pugh</t>
  </si>
  <si>
    <t>Newell 340</t>
  </si>
  <si>
    <t>New Mexico</t>
  </si>
  <si>
    <t>Santa Fe</t>
  </si>
  <si>
    <t>Julian Keith Mayer</t>
  </si>
  <si>
    <t>Fellowes Smart Surge Ten-Outlet Protector, Platinum</t>
  </si>
  <si>
    <t>Matthew Berman</t>
  </si>
  <si>
    <t>StarTAC 3000</t>
  </si>
  <si>
    <t>Grants Pass</t>
  </si>
  <si>
    <t>Douglas Buck</t>
  </si>
  <si>
    <t>Xerox 21</t>
  </si>
  <si>
    <t>Seatac</t>
  </si>
  <si>
    <t>Advantus Rolling Storage Box</t>
  </si>
  <si>
    <t>Gina McKnight</t>
  </si>
  <si>
    <t>Fellowes PB500 Electric Punch Plastic Comb Binding Machine with Manual Bind</t>
  </si>
  <si>
    <t>Farragut</t>
  </si>
  <si>
    <t>Dennis Boykin Townsend</t>
  </si>
  <si>
    <t>Joe George</t>
  </si>
  <si>
    <t>GBC Standard Plastic Binding Systems' Combs</t>
  </si>
  <si>
    <t>Bossier City</t>
  </si>
  <si>
    <t>Avery 481</t>
  </si>
  <si>
    <t>Paul Puckett</t>
  </si>
  <si>
    <t>Memorex Slim 80 Minute CD-R, 10/Pack</t>
  </si>
  <si>
    <t>Wooster</t>
  </si>
  <si>
    <t>Valerie Siegel</t>
  </si>
  <si>
    <t>TimeportP7382</t>
  </si>
  <si>
    <t>Woodstock</t>
  </si>
  <si>
    <t>Carlos Hess</t>
  </si>
  <si>
    <t>Hon iLevel™ Computer Training Table</t>
  </si>
  <si>
    <t>Cleveland Heights</t>
  </si>
  <si>
    <t>Nicholas Wallace</t>
  </si>
  <si>
    <t>Logitech Cordless Elite Duo</t>
  </si>
  <si>
    <t>Hurst</t>
  </si>
  <si>
    <t>Andrew Gonzalez</t>
  </si>
  <si>
    <t>Memorex 80 Minute CD-R Spindle, 100/Pack</t>
  </si>
  <si>
    <t>Charlotte</t>
  </si>
  <si>
    <t>Fellowes 17-key keypad for PS/2 interface</t>
  </si>
  <si>
    <t>Cindy McLeod</t>
  </si>
  <si>
    <t>Premier Elliptical Ring Binder, Black</t>
  </si>
  <si>
    <t>Sioux City</t>
  </si>
  <si>
    <t>Vicki Womble</t>
  </si>
  <si>
    <t>XtraLife® ClearVue™ Slant-D® Ring Binders by Cardinal</t>
  </si>
  <si>
    <t>Des Moines</t>
  </si>
  <si>
    <t>Deflect-o DuraMat Antistatic Studded Beveled Mat for Medium Pile Carpeting</t>
  </si>
  <si>
    <t>Timothy Currie</t>
  </si>
  <si>
    <t>Woburn</t>
  </si>
  <si>
    <t>Dennis Bowen</t>
  </si>
  <si>
    <t>Avery Premier Heavy-Duty Binder with Round Locking Rings</t>
  </si>
  <si>
    <t>Pottstown</t>
  </si>
  <si>
    <t>Juanita Ballard</t>
  </si>
  <si>
    <t>Super Decoflex Portable Personal File</t>
  </si>
  <si>
    <t>Kent</t>
  </si>
  <si>
    <t>Gregory R Snow</t>
  </si>
  <si>
    <t>Ibico EPK-21 Electric Binding System</t>
  </si>
  <si>
    <t>Greer</t>
  </si>
  <si>
    <t>David Weaver</t>
  </si>
  <si>
    <t>Hon 4700 Series Mobuis™ Mid-Back Task Chairs with Adjustable Arms</t>
  </si>
  <si>
    <t>Holladay</t>
  </si>
  <si>
    <t>Southworth 25% Cotton Premium Laser Paper and Envelopes</t>
  </si>
  <si>
    <t>Sharon Kessler</t>
  </si>
  <si>
    <t>Large Capacity Hanging Post Binders</t>
  </si>
  <si>
    <t>Superior</t>
  </si>
  <si>
    <t>Monica Stuart</t>
  </si>
  <si>
    <t>Imation 3.5" DS/HD IBM Formatted Diskettes, 50/Pack</t>
  </si>
  <si>
    <t>Waukesha</t>
  </si>
  <si>
    <t>Geoffrey Zhu</t>
  </si>
  <si>
    <t>PC Concepts 116 Key Quantum 3000 Keyboard</t>
  </si>
  <si>
    <t>Kingsport</t>
  </si>
  <si>
    <t>Jean Weiss Diaz</t>
  </si>
  <si>
    <t>Carina 42"Hx23 3/4"W Media Storage Unit</t>
  </si>
  <si>
    <t>Elyria</t>
  </si>
  <si>
    <t>Bonnie Matthews Rowland</t>
  </si>
  <si>
    <t>Career Cubicle Clock, 8 1/4", Black</t>
  </si>
  <si>
    <t>Michele Bradshaw</t>
  </si>
  <si>
    <t>8890</t>
  </si>
  <si>
    <t>Dunedin</t>
  </si>
  <si>
    <t>Joan Beach</t>
  </si>
  <si>
    <t>Motorola SB4200 Cable Modem</t>
  </si>
  <si>
    <t>Mobile</t>
  </si>
  <si>
    <t>Deflect-o RollaMat Studded, Beveled Mat for Medium Pile Carpeting</t>
  </si>
  <si>
    <t>Yvonne Collier</t>
  </si>
  <si>
    <t>GBC Twin Loop™ Wire Binding Elements, 9/16" Spine, Black</t>
  </si>
  <si>
    <t>Lino Lakes</t>
  </si>
  <si>
    <t>Sharon Thomas</t>
  </si>
  <si>
    <t>Adams Phone Message Book, Professional, 400 Message Capacity, 5 3/6” x 11”</t>
  </si>
  <si>
    <t>Anna Ellis</t>
  </si>
  <si>
    <t>Mankato</t>
  </si>
  <si>
    <t>Arlene Wiggins Dalton</t>
  </si>
  <si>
    <t>Avery Binder Labels</t>
  </si>
  <si>
    <t>Huntsville</t>
  </si>
  <si>
    <t>Benjamin Gunter</t>
  </si>
  <si>
    <t>Avery 498</t>
  </si>
  <si>
    <t>Hialeah</t>
  </si>
  <si>
    <t>Chromcraft Bull-Nose Wood Round Conference Table Top, Wood Base</t>
  </si>
  <si>
    <t>Amy York</t>
  </si>
  <si>
    <t>Keytronic 105-Key Spanish Keyboard</t>
  </si>
  <si>
    <t>Parkland</t>
  </si>
  <si>
    <t>Rhonda Schroeder</t>
  </si>
  <si>
    <t>Acme Design Line 8" Stainless Steel Bent Scissors w/Champagne Handles, 3-1/8" Cut</t>
  </si>
  <si>
    <t>Newton</t>
  </si>
  <si>
    <t>Melinda Thornton</t>
  </si>
  <si>
    <t>IBM Multi-Purpose Copy Paper, 8 1/2 x 11", Case</t>
  </si>
  <si>
    <t>Reston</t>
  </si>
  <si>
    <t>Lindsay P Ashley</t>
  </si>
  <si>
    <t>Douglas Sutton</t>
  </si>
  <si>
    <t>Wheat Ridge</t>
  </si>
  <si>
    <t>Phillip Pollard</t>
  </si>
  <si>
    <t>Fellowes Command Center 5-outlet power strip</t>
  </si>
  <si>
    <t>Pauline Denton</t>
  </si>
  <si>
    <t>Canon PC-428 Personal Copier</t>
  </si>
  <si>
    <t>Vincennes</t>
  </si>
  <si>
    <t>Dana Sharpe</t>
  </si>
  <si>
    <t>Neil Bailey</t>
  </si>
  <si>
    <t>636</t>
  </si>
  <si>
    <t>Harrisburg</t>
  </si>
  <si>
    <t>Anthony Stanley</t>
  </si>
  <si>
    <t>Eureka The Boss® Cordless Rechargeable Stick Vac</t>
  </si>
  <si>
    <t>Fords</t>
  </si>
  <si>
    <t>Sandy Cannon</t>
  </si>
  <si>
    <t>Eureka Hand Vacuum, Bagless</t>
  </si>
  <si>
    <t>Leawood</t>
  </si>
  <si>
    <t>Nancy Holden</t>
  </si>
  <si>
    <t>Harmony HEPA Quiet Air Purifiers</t>
  </si>
  <si>
    <t>Franklin</t>
  </si>
  <si>
    <t>Roger Blalock Cassidy</t>
  </si>
  <si>
    <t>Recycled Premium Regency Composition Covers</t>
  </si>
  <si>
    <t>Fairfield</t>
  </si>
  <si>
    <t>Charles Cline</t>
  </si>
  <si>
    <t>Tennsco Regal Shelving Units</t>
  </si>
  <si>
    <t>Thousand Oaks</t>
  </si>
  <si>
    <t>T60</t>
  </si>
  <si>
    <t>Jean Khan</t>
  </si>
  <si>
    <t>Eldon Regeneration Recycled Desk Accessories, Smoke</t>
  </si>
  <si>
    <t>Menlo Park</t>
  </si>
  <si>
    <t>Diana Xu</t>
  </si>
  <si>
    <t>Belkin 6 Outlet Metallic Surge Strip</t>
  </si>
  <si>
    <t>Harriet Bowman</t>
  </si>
  <si>
    <t>5170i</t>
  </si>
  <si>
    <t>Arlene Gibbons</t>
  </si>
  <si>
    <t>Nu-Dell Leatherette Frames</t>
  </si>
  <si>
    <t>Muscatine</t>
  </si>
  <si>
    <t>Kristina Collier</t>
  </si>
  <si>
    <t>Allen Park</t>
  </si>
  <si>
    <t>Faye Manning</t>
  </si>
  <si>
    <t>Canon MP41DH Printing Calculator</t>
  </si>
  <si>
    <t>Saint Petersburg</t>
  </si>
  <si>
    <t>Global Stack Chair without Arms, Black</t>
  </si>
  <si>
    <t>Fellowes Neat Ideas® Storage Cubes</t>
  </si>
  <si>
    <t>Pam Patton</t>
  </si>
  <si>
    <t>Xerox 1897</t>
  </si>
  <si>
    <t>Boston</t>
  </si>
  <si>
    <t>Marjorie Owens</t>
  </si>
  <si>
    <t>Farmers Branch</t>
  </si>
  <si>
    <t>Harry Burns</t>
  </si>
  <si>
    <t>Barrel Sharpener</t>
  </si>
  <si>
    <t>Mason City</t>
  </si>
  <si>
    <t>2160i</t>
  </si>
  <si>
    <t>A1228</t>
  </si>
  <si>
    <t>Priscilla Allen</t>
  </si>
  <si>
    <t>Pontiac</t>
  </si>
  <si>
    <t>Edwin Blackburn</t>
  </si>
  <si>
    <t>Rogers® Profile Extra Capacity Storage Tub</t>
  </si>
  <si>
    <t>Agawam</t>
  </si>
  <si>
    <t>Jackie Flynn</t>
  </si>
  <si>
    <t>Winchester</t>
  </si>
  <si>
    <t>Billy Hale</t>
  </si>
  <si>
    <t>Global High-Back Leather Tilter, Burgundy</t>
  </si>
  <si>
    <t>Fort Lee</t>
  </si>
  <si>
    <t>Teresa Wallace</t>
  </si>
  <si>
    <t>Eldon ClusterMat Chair Mat with Cordless Antistatic Protection</t>
  </si>
  <si>
    <t>Mount Lebanon</t>
  </si>
  <si>
    <t>Xerox 1947</t>
  </si>
  <si>
    <t>Oscar Kenney</t>
  </si>
  <si>
    <t>Staples Plastic Wall Frames</t>
  </si>
  <si>
    <t>West Bend</t>
  </si>
  <si>
    <t>Helen Dickerson</t>
  </si>
  <si>
    <t>Joplin</t>
  </si>
  <si>
    <t>Edgar McKenzie</t>
  </si>
  <si>
    <t>Staples 6 Outlet Surge</t>
  </si>
  <si>
    <t>Oswego</t>
  </si>
  <si>
    <t>Lloyd Dolan</t>
  </si>
  <si>
    <t>Newell 338</t>
  </si>
  <si>
    <t>Dickinson</t>
  </si>
  <si>
    <t>Joanna Kenney</t>
  </si>
  <si>
    <t>Boston 1645 Deluxe Heavier-Duty Electric Pencil Sharpener</t>
  </si>
  <si>
    <t>Sandusky</t>
  </si>
  <si>
    <t>OIC Thumb-Tacks</t>
  </si>
  <si>
    <t>Jeff Meadows</t>
  </si>
  <si>
    <t>Avery 48</t>
  </si>
  <si>
    <t>Paducah</t>
  </si>
  <si>
    <t>Judy Hall</t>
  </si>
  <si>
    <t>Newell 343</t>
  </si>
  <si>
    <t>Worcester</t>
  </si>
  <si>
    <t>Kara Allison</t>
  </si>
  <si>
    <t>Alton</t>
  </si>
  <si>
    <t>Array® Memo Cubes</t>
  </si>
  <si>
    <t>Janet McCullough</t>
  </si>
  <si>
    <t>LX 677</t>
  </si>
  <si>
    <t>Coconut Creek</t>
  </si>
  <si>
    <t>Monica Harvey</t>
  </si>
  <si>
    <t>V70</t>
  </si>
  <si>
    <t>Eau Claire</t>
  </si>
  <si>
    <t>Sidney Russell Austin</t>
  </si>
  <si>
    <t>Okidata Pacemark 4410N Wide Format Dot Matrix Printer</t>
  </si>
  <si>
    <t>Redmond</t>
  </si>
  <si>
    <t>Edgar Kumar</t>
  </si>
  <si>
    <t>Billie Stern</t>
  </si>
  <si>
    <t>North Plainfield</t>
  </si>
  <si>
    <t>Edna Thomas</t>
  </si>
  <si>
    <t>Xerox 194</t>
  </si>
  <si>
    <t>Laguna Niguel</t>
  </si>
  <si>
    <t>Belkin 8 Outlet SurgeMaster II Gold Surge Protector</t>
  </si>
  <si>
    <t>Wilson Jones Impact Binders</t>
  </si>
  <si>
    <t>Kristine Connolly</t>
  </si>
  <si>
    <t>Adams Phone Message Book, 200 Message Capacity, 8 1/16” x 11”</t>
  </si>
  <si>
    <t>Kristina Sanders</t>
  </si>
  <si>
    <t>Provo</t>
  </si>
  <si>
    <t>Martin Kirk</t>
  </si>
  <si>
    <t>Chesapeake</t>
  </si>
  <si>
    <t>James Davenport</t>
  </si>
  <si>
    <t>Acco Four Pocket Poly Ring Binder with Label Holder, Smoke, 1"</t>
  </si>
  <si>
    <t>Kansas City</t>
  </si>
  <si>
    <t>Xerox 213</t>
  </si>
  <si>
    <t>Jenny Gold</t>
  </si>
  <si>
    <t>Hon 2090 “Pillow Soft” Series Mid Back Swivel/Tilt Chairs</t>
  </si>
  <si>
    <t>Marianne Carey</t>
  </si>
  <si>
    <t>Atlantic Metals Mobile 2-Shelf Bookcases, Custom Colors</t>
  </si>
  <si>
    <t>North Platte</t>
  </si>
  <si>
    <t>Alfred Singh</t>
  </si>
  <si>
    <t>GBC DocuBind 200 Manual Binding Machine</t>
  </si>
  <si>
    <t>Mechanicsville</t>
  </si>
  <si>
    <t>Jeffrey Mueller</t>
  </si>
  <si>
    <t>Memorex 4.7GB DVD-RAM, 3/Pack</t>
  </si>
  <si>
    <t>Rock Island</t>
  </si>
  <si>
    <t>Edna Monroe Talley</t>
  </si>
  <si>
    <t>Seguin</t>
  </si>
  <si>
    <t>BoxOffice By Design Rectangular and Half-Moon Meeting Room Tables</t>
  </si>
  <si>
    <t>Peggy Chan</t>
  </si>
  <si>
    <t>Sherman</t>
  </si>
  <si>
    <t>Rodney Field</t>
  </si>
  <si>
    <t>Springfield</t>
  </si>
  <si>
    <t>Howard Miller 13" Diameter Goldtone Round Wall Clock</t>
  </si>
  <si>
    <t>Theodore Rubin</t>
  </si>
  <si>
    <t>Franklin Park</t>
  </si>
  <si>
    <t>Irene Li</t>
  </si>
  <si>
    <t>Acme® Elite Stainless Steel Scissors</t>
  </si>
  <si>
    <t>Hanover</t>
  </si>
  <si>
    <t>Lynn Epstein</t>
  </si>
  <si>
    <t>Anderson Hickey Conga Table Tops &amp; Accessories</t>
  </si>
  <si>
    <t>Bangor</t>
  </si>
  <si>
    <t>Constance Flowers</t>
  </si>
  <si>
    <t>US Robotics 56K V.92 Internal PCI Faxmodem</t>
  </si>
  <si>
    <t>San Diego</t>
  </si>
  <si>
    <t>Laurie Howe</t>
  </si>
  <si>
    <t>Office Star - Mid Back Dual function Ergonomic High Back Chair with 2-Way Adjustable Arms</t>
  </si>
  <si>
    <t>Brooklyn Center</t>
  </si>
  <si>
    <t>Rediform S.O.S. Phone Message Books</t>
  </si>
  <si>
    <t>Kelly Byers</t>
  </si>
  <si>
    <t>Peel &amp; Stick Add-On Corner Pockets</t>
  </si>
  <si>
    <t>Woodburn</t>
  </si>
  <si>
    <t>Hewlett-Packard Business Color Inkjet 3000 [N, DTN] Series Printers</t>
  </si>
  <si>
    <t>Xerox 217</t>
  </si>
  <si>
    <t>April Bowers</t>
  </si>
  <si>
    <t>Cedar Hill</t>
  </si>
  <si>
    <t>Marsha P Joyner</t>
  </si>
  <si>
    <t>West Virginia</t>
  </si>
  <si>
    <t>Wheeling</t>
  </si>
  <si>
    <t>Crystal Crabtree</t>
  </si>
  <si>
    <t>West Palm Beach</t>
  </si>
  <si>
    <t>C-Line Peel &amp; Stick Add-On Filing Pockets, 8-3/4 x 5-1/8, 10/Pack</t>
  </si>
  <si>
    <t>Carolyn Fisher</t>
  </si>
  <si>
    <t>Lexmark Z25 Color Inkjet Printer</t>
  </si>
  <si>
    <t>Sherwood</t>
  </si>
  <si>
    <t>Debra Proctor</t>
  </si>
  <si>
    <t>Avery 497</t>
  </si>
  <si>
    <t>Fort Wayne</t>
  </si>
  <si>
    <t>Dana Waller</t>
  </si>
  <si>
    <t>Bush Advantage Collection® Racetrack Conference Table</t>
  </si>
  <si>
    <t>Bozeman</t>
  </si>
  <si>
    <t>Victor Cherry</t>
  </si>
  <si>
    <t>Imation 5.2GB DVD-RAM</t>
  </si>
  <si>
    <t>Farmington Hills</t>
  </si>
  <si>
    <t>Malcolm S Lanier</t>
  </si>
  <si>
    <t>Speediset Carbonless Redi-Letter® 7" x 8 1/2"</t>
  </si>
  <si>
    <t>Flint</t>
  </si>
  <si>
    <t>Denise Carver</t>
  </si>
  <si>
    <t>Laminate Occasional Tables</t>
  </si>
  <si>
    <t>Cuyahoga Falls</t>
  </si>
  <si>
    <t>Mead 1st Gear 2" Zipper Binder, Asst. Colors</t>
  </si>
  <si>
    <t>Annette Boone</t>
  </si>
  <si>
    <t>Burlington</t>
  </si>
  <si>
    <t>Arlene Long</t>
  </si>
  <si>
    <t>Eldon® 200 Class™ Desk Accessories</t>
  </si>
  <si>
    <t>Kevin Smith</t>
  </si>
  <si>
    <t>Lake In The Hills</t>
  </si>
  <si>
    <t>Helen Stein</t>
  </si>
  <si>
    <t>Cincinnati</t>
  </si>
  <si>
    <t>Marc Ray</t>
  </si>
  <si>
    <t>Avery Hi-Liter® Fluorescent Desk Style Markers</t>
  </si>
  <si>
    <t>Mountain View</t>
  </si>
  <si>
    <t>Pamela Wiley</t>
  </si>
  <si>
    <t>Rick Foster Hawkins</t>
  </si>
  <si>
    <t>Hewlett-Packard Deskjet 6122 Color Inkjet Printer</t>
  </si>
  <si>
    <t>San Francisco</t>
  </si>
  <si>
    <t>Wallace Pugh</t>
  </si>
  <si>
    <t>Northbrook</t>
  </si>
  <si>
    <t>Jack Horn</t>
  </si>
  <si>
    <t>Office Star - Ergonomic Mid Back Chair with 2-Way Adjustable Arms</t>
  </si>
  <si>
    <t>Statesboro</t>
  </si>
  <si>
    <t>Robin Tyler</t>
  </si>
  <si>
    <t>i2000</t>
  </si>
  <si>
    <t>Murray</t>
  </si>
  <si>
    <t>Gretchen Ball</t>
  </si>
  <si>
    <t>Accessory27</t>
  </si>
  <si>
    <t>Pueblo</t>
  </si>
  <si>
    <t>Glenda Hunter</t>
  </si>
  <si>
    <t>Twentynine Palms</t>
  </si>
  <si>
    <t>Acme Galleria® Hot Forged Steel Scissors with Colored Handles</t>
  </si>
  <si>
    <t>Nathan Wyatt</t>
  </si>
  <si>
    <t>Pasco</t>
  </si>
  <si>
    <t>Phillip Chappell</t>
  </si>
  <si>
    <t>Redondo Beach</t>
  </si>
  <si>
    <t>Yvonne Clarke</t>
  </si>
  <si>
    <t>Southworth 25% Cotton Antique Laid Paper &amp; Envelopes</t>
  </si>
  <si>
    <t>Oscar Ford</t>
  </si>
  <si>
    <t>Burnsville</t>
  </si>
  <si>
    <t>Tommy Honeycutt</t>
  </si>
  <si>
    <t>Saint Peters</t>
  </si>
  <si>
    <t>Earl Roy</t>
  </si>
  <si>
    <t>Casselberry</t>
  </si>
  <si>
    <t>Advantus Push Pins, Aluminum Head</t>
  </si>
  <si>
    <t>Charlotte L Doyle</t>
  </si>
  <si>
    <t>Coral Gables</t>
  </si>
  <si>
    <t>BPI Conference Tables</t>
  </si>
  <si>
    <t>Larry Langston</t>
  </si>
  <si>
    <t>Avery 493</t>
  </si>
  <si>
    <t>Spartanburg</t>
  </si>
  <si>
    <t>Array® Parchment Paper, Assorted Colors</t>
  </si>
  <si>
    <t>HP Office Paper (20Lb. and 87 Bright)</t>
  </si>
  <si>
    <t>Logitech Cordless Navigator Duo</t>
  </si>
  <si>
    <t>Tara Gold</t>
  </si>
  <si>
    <t>GBC White Gloss Covers, Plain Front</t>
  </si>
  <si>
    <t>Hutchinson</t>
  </si>
  <si>
    <t>Charlotte Patterson</t>
  </si>
  <si>
    <t>Terre Haute</t>
  </si>
  <si>
    <t>Kathy Turner</t>
  </si>
  <si>
    <t>Depew</t>
  </si>
  <si>
    <t>Don Cameron</t>
  </si>
  <si>
    <t>Sanyo 2.5 Cubic Foot Mid-Size Office Refrigerators</t>
  </si>
  <si>
    <t>Annie Horne</t>
  </si>
  <si>
    <t>Post-it® “Important Message” Note Pad, Neon Colors, 50 Sheets/Pad</t>
  </si>
  <si>
    <t>Fort Myers</t>
  </si>
  <si>
    <t>Brian Leach</t>
  </si>
  <si>
    <t>Sanford Colorific Colored Pencils, 12/Box</t>
  </si>
  <si>
    <t>R380</t>
  </si>
  <si>
    <t>Stacy Gould</t>
  </si>
  <si>
    <t>Bay City</t>
  </si>
  <si>
    <t>Danielle Schneider</t>
  </si>
  <si>
    <t>Staples Battery-Operated Desktop Pencil Sharpener</t>
  </si>
  <si>
    <t>Canton</t>
  </si>
  <si>
    <t>Vanessa Boyer</t>
  </si>
  <si>
    <t>Howard Burnett</t>
  </si>
  <si>
    <t>Companion Letter/Legal File, Black</t>
  </si>
  <si>
    <t>Vernon Hirsch Singleton</t>
  </si>
  <si>
    <t>Bretford CR8500 Series Meeting Room Furniture</t>
  </si>
  <si>
    <t>Chico</t>
  </si>
  <si>
    <t>Jimmy Waters</t>
  </si>
  <si>
    <t>Fitchburg</t>
  </si>
  <si>
    <t>Brian Grady</t>
  </si>
  <si>
    <t>Eldon® Expressions™ Wood and Plastic Desk Accessories, Oak</t>
  </si>
  <si>
    <t>Catherine Dorsey Burnett</t>
  </si>
  <si>
    <t>Hewlett-Packard cp1700 [D, PS] Series Color Inkjet Printers</t>
  </si>
  <si>
    <t>East Los Angeles</t>
  </si>
  <si>
    <t>Hot File® 7-Pocket, Floor Stand</t>
  </si>
  <si>
    <t>Samantha Koch</t>
  </si>
  <si>
    <t>Space Solutions Commercial Steel Shelving</t>
  </si>
  <si>
    <t>Tucson</t>
  </si>
  <si>
    <t>Scott Feldman</t>
  </si>
  <si>
    <t>Polycom Soundstation EX Audio-Conferencing Telephone, Black</t>
  </si>
  <si>
    <t>Elizabeth</t>
  </si>
  <si>
    <t>Julie Porter</t>
  </si>
  <si>
    <t>ACCOHIDE® 3-Ring Binder, Blue, 1"</t>
  </si>
  <si>
    <t>Pittsburg</t>
  </si>
  <si>
    <t>Ampad #10 Peel &amp; Seel® Holiday Envelopes</t>
  </si>
  <si>
    <t>Nicole Reid</t>
  </si>
  <si>
    <t>Maxell 3.5" DS/HD IBM-Formatted Diskettes, 10/Pack</t>
  </si>
  <si>
    <t>University City</t>
  </si>
  <si>
    <t>Earl Alston</t>
  </si>
  <si>
    <t>Bevis Round Bullnose 29" High Table Top</t>
  </si>
  <si>
    <t>Greenville</t>
  </si>
  <si>
    <t>Melvin Kendall</t>
  </si>
  <si>
    <t>SouthWestern Bell FA970 Digital Answering Machine with Time/Day Stamp</t>
  </si>
  <si>
    <t>Clovis</t>
  </si>
  <si>
    <t>Lesro Sheffield Collection Coffee Table, End Table, Center Table, Corner Table</t>
  </si>
  <si>
    <t>StarTAC 8000</t>
  </si>
  <si>
    <t>Joel Buckley</t>
  </si>
  <si>
    <t>Lincoln</t>
  </si>
  <si>
    <t>Kathleen Huang Hall</t>
  </si>
  <si>
    <t>Acme® Preferred Stainless Steel Scissors</t>
  </si>
  <si>
    <t>Freeport</t>
  </si>
  <si>
    <t>Kristine Holden</t>
  </si>
  <si>
    <t>Kensington 6 Outlet Guardian Standard Surge Protector</t>
  </si>
  <si>
    <t>Mauldin</t>
  </si>
  <si>
    <t>Adam G Sawyer</t>
  </si>
  <si>
    <t>East Chicago</t>
  </si>
  <si>
    <t>Nelson Hensley</t>
  </si>
  <si>
    <t>Lillian Fischer</t>
  </si>
  <si>
    <t>Avery Trapezoid Extra Heavy Duty 4" Binders</t>
  </si>
  <si>
    <t>Turquoise Lead Holder with Pocket Clip</t>
  </si>
  <si>
    <t>Tonya Proctor</t>
  </si>
  <si>
    <t>Temecula</t>
  </si>
  <si>
    <t>Timeport L7089</t>
  </si>
  <si>
    <t>Xerox 1923</t>
  </si>
  <si>
    <t>Portfile® Personal File Boxes</t>
  </si>
  <si>
    <t>Marjorie Burnette</t>
  </si>
  <si>
    <t>Surelock™ Post Binders</t>
  </si>
  <si>
    <t>Cleveland</t>
  </si>
  <si>
    <t>Eugene Kerr</t>
  </si>
  <si>
    <t>i500plus</t>
  </si>
  <si>
    <t>Central Islip</t>
  </si>
  <si>
    <t>Tammy Buckley</t>
  </si>
  <si>
    <t>Tenex 46" x 60" Computer Anti-Static Chairmat, Rectangular Shaped</t>
  </si>
  <si>
    <t>Wyoming</t>
  </si>
  <si>
    <t>Cheyenne</t>
  </si>
  <si>
    <t>Ross Simpson</t>
  </si>
  <si>
    <t>Donna Craven</t>
  </si>
  <si>
    <t>Randallstown</t>
  </si>
  <si>
    <t>Binder Posts</t>
  </si>
  <si>
    <t>Mitchell Ross</t>
  </si>
  <si>
    <t>Burke</t>
  </si>
  <si>
    <t>Sherry Hurley</t>
  </si>
  <si>
    <t>Fayetteville</t>
  </si>
  <si>
    <t>Brandon E Shepherd</t>
  </si>
  <si>
    <t>South Dakota</t>
  </si>
  <si>
    <t>Sioux Falls</t>
  </si>
  <si>
    <t>Toni Swanson</t>
  </si>
  <si>
    <t>Jimmy Alston Holder</t>
  </si>
  <si>
    <t>Rosemary Branch</t>
  </si>
  <si>
    <t>Sharp EL500L Fraction Calculator</t>
  </si>
  <si>
    <t>Boca Raton</t>
  </si>
  <si>
    <t>Xerox 1894</t>
  </si>
  <si>
    <t>Hon 94000 Series Round Tables</t>
  </si>
  <si>
    <t>Larry Hall</t>
  </si>
  <si>
    <t>Birmingham</t>
  </si>
  <si>
    <t>Denise McIntosh</t>
  </si>
  <si>
    <t>Accessory24</t>
  </si>
  <si>
    <t>Marie Bass</t>
  </si>
  <si>
    <t>Avery Flip-Chart Easel Binder, Black</t>
  </si>
  <si>
    <t>Edward Bynum</t>
  </si>
  <si>
    <t>Chambersburg</t>
  </si>
  <si>
    <t>Maurice Everett</t>
  </si>
  <si>
    <t>Xerox 1930</t>
  </si>
  <si>
    <t>Tennsco Lockers, Gray</t>
  </si>
  <si>
    <t>Thomas Spence</t>
  </si>
  <si>
    <t>Idaho Falls</t>
  </si>
  <si>
    <t>Michael Robbins</t>
  </si>
  <si>
    <t>Euless</t>
  </si>
  <si>
    <t>Kerry Hardy</t>
  </si>
  <si>
    <t>Fort Lauderdale</t>
  </si>
  <si>
    <t>Gerald Raynor</t>
  </si>
  <si>
    <t>Imation 3.5" IBM-Formatted Diskettes, 10/Pack</t>
  </si>
  <si>
    <t>Horn Lake</t>
  </si>
  <si>
    <t>Global Enterprise Series Seating High-Back Swivel/Tilt Chairs</t>
  </si>
  <si>
    <t>Aaron Dillon</t>
  </si>
  <si>
    <t>Weatherford</t>
  </si>
  <si>
    <t>Avery White Multi-Purpose Labels</t>
  </si>
  <si>
    <t>Ultra Door Pull Handle</t>
  </si>
  <si>
    <t>Xerox 1920</t>
  </si>
  <si>
    <t>Alison Jones</t>
  </si>
  <si>
    <t>Talkabout T8097</t>
  </si>
  <si>
    <t>Wilmington</t>
  </si>
  <si>
    <t>Marvin Yang</t>
  </si>
  <si>
    <t>Lexmark Z54se Color Inkjet Printer</t>
  </si>
  <si>
    <t>Pearl</t>
  </si>
  <si>
    <t>Neil Hogan</t>
  </si>
  <si>
    <t>Snap-A-Way® Black Print Carbonless Ruled Speed Letter, Triplicate</t>
  </si>
  <si>
    <t>Tualatin</t>
  </si>
  <si>
    <t>Sarah Ramsey</t>
  </si>
  <si>
    <t>Staples Gold Paper Clips</t>
  </si>
  <si>
    <t>Syracuse</t>
  </si>
  <si>
    <t>StarTAC 7797</t>
  </si>
  <si>
    <t>Lloyd Norris</t>
  </si>
  <si>
    <t>Arlington Heights</t>
  </si>
  <si>
    <t>Gerald Kearney</t>
  </si>
  <si>
    <t>APC 7 Outlet Network SurgeArrest Surge Protector</t>
  </si>
  <si>
    <t>Aurora</t>
  </si>
  <si>
    <t>Andrew Pearce</t>
  </si>
  <si>
    <t>Hon Every-Day® Chair Series Swivel Task Chairs</t>
  </si>
  <si>
    <t>Tony Chandler</t>
  </si>
  <si>
    <t>Self-Adhesive Address Labels for Typewriters by Universal</t>
  </si>
  <si>
    <t>Highland Village</t>
  </si>
  <si>
    <t>Paige Jacobs</t>
  </si>
  <si>
    <t>Accessory28</t>
  </si>
  <si>
    <t>Friendswood</t>
  </si>
  <si>
    <t>Virginia McNeill</t>
  </si>
  <si>
    <t>GBC ProClick Spines for 32-Hole Punch</t>
  </si>
  <si>
    <t>Kenosha</t>
  </si>
  <si>
    <t>Leslie Jacobson</t>
  </si>
  <si>
    <t>El Mirage</t>
  </si>
  <si>
    <t>Stacy Byrne</t>
  </si>
  <si>
    <t>Westerville</t>
  </si>
  <si>
    <t>Herbert Beard</t>
  </si>
  <si>
    <t>Sulphur Springs</t>
  </si>
  <si>
    <t>Fellowes High-Stak® Drawer Files</t>
  </si>
  <si>
    <t>Erika Jordan</t>
  </si>
  <si>
    <t>O'Sullivan Living Dimensions 2-Shelf Bookcases</t>
  </si>
  <si>
    <t>Plum</t>
  </si>
  <si>
    <t>Paul Tate</t>
  </si>
  <si>
    <t>Jim Hinson</t>
  </si>
  <si>
    <t>Rochester Hills</t>
  </si>
  <si>
    <t>Joan Floyd</t>
  </si>
  <si>
    <t>Bevis 36 x 72 Conference Tables</t>
  </si>
  <si>
    <t>Gulfport</t>
  </si>
  <si>
    <t>Betty Giles</t>
  </si>
  <si>
    <t>Hewlett-Packard Deskjet 940 REFURBISHED Color Inkjet Printer</t>
  </si>
  <si>
    <t>Maple Grove</t>
  </si>
  <si>
    <t>Xerox 1997</t>
  </si>
  <si>
    <t>Louise Webster Sharma</t>
  </si>
  <si>
    <t>Xerox 1983</t>
  </si>
  <si>
    <t>Hickory</t>
  </si>
  <si>
    <t>Lawrence Haas</t>
  </si>
  <si>
    <t>Southworth Structures Collection™</t>
  </si>
  <si>
    <t>Port Saint Lucie</t>
  </si>
  <si>
    <t>Marvin Patrick</t>
  </si>
  <si>
    <t>Stanley Bostitch Contemporary Electric Pencil Sharpeners</t>
  </si>
  <si>
    <t>Detroit</t>
  </si>
  <si>
    <t>282</t>
  </si>
  <si>
    <t>Donald Melton</t>
  </si>
  <si>
    <t>Danielle Baird</t>
  </si>
  <si>
    <t>Kleencut® Forged Office Shears by Acme United Corporation</t>
  </si>
  <si>
    <t>Tiffany Merrill</t>
  </si>
  <si>
    <t>Newell 307</t>
  </si>
  <si>
    <t>Oakdale</t>
  </si>
  <si>
    <t>Irene Murphy</t>
  </si>
  <si>
    <t>Pullman</t>
  </si>
  <si>
    <t>Thomas McAllister</t>
  </si>
  <si>
    <t>80 Minute Slim Jewel Case CD-R , 10/Pack - Staples</t>
  </si>
  <si>
    <t>Pikesville</t>
  </si>
  <si>
    <t>Accessory34</t>
  </si>
  <si>
    <t>Glen Caldwell</t>
  </si>
  <si>
    <t>Edith Forbes</t>
  </si>
  <si>
    <t>2180</t>
  </si>
  <si>
    <t>Tewksbury</t>
  </si>
  <si>
    <t>Tenex Traditional Chairmats for Medium Pile Carpet, Standard Lip, 36" x 48"</t>
  </si>
  <si>
    <t>Lois Rowland</t>
  </si>
  <si>
    <t>Chromcraft Rectangular Conference Tables</t>
  </si>
  <si>
    <t>Santa Maria</t>
  </si>
  <si>
    <t>Neal Wolfe</t>
  </si>
  <si>
    <t>Julie Edwards</t>
  </si>
  <si>
    <t>Wesley Corbett</t>
  </si>
  <si>
    <t>Conroe</t>
  </si>
  <si>
    <t>Marcus Dunlap</t>
  </si>
  <si>
    <t>Roselle</t>
  </si>
  <si>
    <t>Doris Fitzpatrick</t>
  </si>
  <si>
    <t>Durable Pressboard Binders</t>
  </si>
  <si>
    <t>Carmel</t>
  </si>
  <si>
    <t>Adams Telephone Message Book w/Frequently-Called Numbers Space, 400 Messages per Book</t>
  </si>
  <si>
    <t>Bretford “Just In Time” Height-Adjustable Multi-Task Work Tables</t>
  </si>
  <si>
    <t>Geoffrey H Wong</t>
  </si>
  <si>
    <t>Rome</t>
  </si>
  <si>
    <t>Accessory15</t>
  </si>
  <si>
    <t>Jonathan Crabtree</t>
  </si>
  <si>
    <t>Addison</t>
  </si>
  <si>
    <t>Accessory37</t>
  </si>
  <si>
    <t>Shawn Combs</t>
  </si>
  <si>
    <t>Filing/Storage Totes and Swivel Casters</t>
  </si>
  <si>
    <t>Auburn</t>
  </si>
  <si>
    <t>Electrix 20W Halogen Replacement Bulb for Zoom-In Desk Lamp</t>
  </si>
  <si>
    <t>210 Trimline Phone, White</t>
  </si>
  <si>
    <t>Edna Michael</t>
  </si>
  <si>
    <t>Port Charlotte</t>
  </si>
  <si>
    <t>Jordan Womble</t>
  </si>
  <si>
    <t>Hays</t>
  </si>
  <si>
    <t>Global Leather Task Chair, Black</t>
  </si>
  <si>
    <t>Clyde Burnett</t>
  </si>
  <si>
    <t>Howard Miller 12-3/4 Diameter Accuwave DS ™ Wall Clock</t>
  </si>
  <si>
    <t>Coachella</t>
  </si>
  <si>
    <t>Canon Imageclass D680 Copier / Fax</t>
  </si>
  <si>
    <t>Ronnie Nolan</t>
  </si>
  <si>
    <t>Waterville</t>
  </si>
  <si>
    <t>Malcolm Floyd</t>
  </si>
  <si>
    <t>The Colony</t>
  </si>
  <si>
    <t>Hazel Jennings</t>
  </si>
  <si>
    <t>Imation 3.5", DISKETTE 44766 HGHLD3.52HD/FM, 10/Pack</t>
  </si>
  <si>
    <t>Patrick Byrne</t>
  </si>
  <si>
    <t>Molly Browning</t>
  </si>
  <si>
    <t>Hon 2111 Invitation™ Series Corner Table</t>
  </si>
  <si>
    <t>Glen Cove</t>
  </si>
  <si>
    <t>BOSTON® Ranger® #55 Pencil Sharpener, Black</t>
  </si>
  <si>
    <t>Robyn Garner</t>
  </si>
  <si>
    <t>Adams Telephone Message Books, 5 1/4” x 11”</t>
  </si>
  <si>
    <t>Redlands</t>
  </si>
  <si>
    <t>Chris Pritchard</t>
  </si>
  <si>
    <t>Deflect-o Glass Clear Studded Chair Mats</t>
  </si>
  <si>
    <t>West Valley City</t>
  </si>
  <si>
    <t>John Merritt</t>
  </si>
  <si>
    <t>White Dual Perf Computer Printout Paper, 2700 Sheets, 1 Part, Heavyweight, 20 lbs., 14 7/8 x 11</t>
  </si>
  <si>
    <t>Keller</t>
  </si>
  <si>
    <t>Vicki Bond</t>
  </si>
  <si>
    <t>Burbank</t>
  </si>
  <si>
    <t>Maureen Whitley</t>
  </si>
  <si>
    <t>DS/HD IBM Formatted Diskettes, 200/Pack - Staples</t>
  </si>
  <si>
    <t>Tamarac</t>
  </si>
  <si>
    <t>Molly Webster</t>
  </si>
  <si>
    <t>Wilson Jones Custom Binder Spines &amp; Labels</t>
  </si>
  <si>
    <t>Durango</t>
  </si>
  <si>
    <t>Sharp 1540cs Digital Laser Copier</t>
  </si>
  <si>
    <t>Multi-Use Personal File Cart and Caster Set, Three Stacking Bins</t>
  </si>
  <si>
    <t>Wallace Werner</t>
  </si>
  <si>
    <t>Vallejo</t>
  </si>
  <si>
    <t>Shawn Meyer</t>
  </si>
  <si>
    <t>5165</t>
  </si>
  <si>
    <t>Corsicana</t>
  </si>
  <si>
    <t>Geoffrey Koch</t>
  </si>
  <si>
    <t>Kankakee</t>
  </si>
  <si>
    <t>Gail Currin</t>
  </si>
  <si>
    <t>Xerox 1971</t>
  </si>
  <si>
    <t>Oxnard</t>
  </si>
  <si>
    <t>Cindy Harvey</t>
  </si>
  <si>
    <t>80 Minute CD-R Spindle, 100/Pack - Staples</t>
  </si>
  <si>
    <t>Tooele</t>
  </si>
  <si>
    <t>Monica Howard</t>
  </si>
  <si>
    <t>X-Rack™ File for Hanging Folders</t>
  </si>
  <si>
    <t>El Centro</t>
  </si>
  <si>
    <t>3390</t>
  </si>
  <si>
    <t>Samuel Newman</t>
  </si>
  <si>
    <t>Desktop 3-Pocket Hot File®</t>
  </si>
  <si>
    <t>Summerville</t>
  </si>
  <si>
    <t>Vincent Hale</t>
  </si>
  <si>
    <t>Newell 315</t>
  </si>
  <si>
    <t>Francis Kendall</t>
  </si>
  <si>
    <t>Albuquerque</t>
  </si>
  <si>
    <t>Wausau Papers Astrobrights® Colored Envelopes</t>
  </si>
  <si>
    <t>Eureka Disposable Bags for Sanitaire® Vibra Groomer I® Upright Vac</t>
  </si>
  <si>
    <t>Avery 510</t>
  </si>
  <si>
    <t>Dana Swing-Arm Lamps</t>
  </si>
  <si>
    <t>Gretchen McKinney</t>
  </si>
  <si>
    <t>Parma</t>
  </si>
  <si>
    <t>Michael Shaffer</t>
  </si>
  <si>
    <t>Executive Impressions 13" Clairmont Wall Clock</t>
  </si>
  <si>
    <t>Kissimmee</t>
  </si>
  <si>
    <t>Michele Bullard</t>
  </si>
  <si>
    <t>Orland Park</t>
  </si>
  <si>
    <t>Eldon Expressions™ Desk Accessory, Wood Pencil Holder, Oak</t>
  </si>
  <si>
    <t>Wayne Sutherland</t>
  </si>
  <si>
    <t>Ibico Covers for Plastic or Wire Binding Elements</t>
  </si>
  <si>
    <t>Downers Grove</t>
  </si>
  <si>
    <t>Hanging Personal Folder File</t>
  </si>
  <si>
    <t>Tennsco Double-Tier Lockers</t>
  </si>
  <si>
    <t>Wesley Waller</t>
  </si>
  <si>
    <t>Zoom V.92 USB External Faxmodem</t>
  </si>
  <si>
    <t>Phillip Holmes</t>
  </si>
  <si>
    <t>Arlington</t>
  </si>
  <si>
    <t>Sean McKenna</t>
  </si>
  <si>
    <t>Office Star Flex Back Scooter Chair with Aluminum Finish Frame</t>
  </si>
  <si>
    <t>Hobbs</t>
  </si>
  <si>
    <t>Erika Fink</t>
  </si>
  <si>
    <t>Eureka Sanitaire ® Multi-Pro Heavy-Duty Upright, Disposable Bags</t>
  </si>
  <si>
    <t>Salt Lake City</t>
  </si>
  <si>
    <t>CF 688</t>
  </si>
  <si>
    <t>Ricky Sanders</t>
  </si>
  <si>
    <t>Joliet</t>
  </si>
  <si>
    <t>Walter Young</t>
  </si>
  <si>
    <t>Pleasant Grove</t>
  </si>
  <si>
    <t>Lee Hancock</t>
  </si>
  <si>
    <t>Global Leather &amp; Oak Executive Chair, Burgundy</t>
  </si>
  <si>
    <t>Hunt Boston® Vacuum Mount KS Pencil Sharpener</t>
  </si>
  <si>
    <t>Carrie Lewis</t>
  </si>
  <si>
    <t>Eaton Premium Continuous-Feed Paper, 25% Cotton, Letter Size, White, 1000 Shts/Box</t>
  </si>
  <si>
    <t>Kettering</t>
  </si>
  <si>
    <t>Paula Hubbard</t>
  </si>
  <si>
    <t>Xerox 1938</t>
  </si>
  <si>
    <t>Kearns</t>
  </si>
  <si>
    <t>Shawn McIntyre</t>
  </si>
  <si>
    <t>Okidata ML390 Turbo Dot Matrix Printers</t>
  </si>
  <si>
    <t>Louisville</t>
  </si>
  <si>
    <t>Monica Law Thompson</t>
  </si>
  <si>
    <t>Texarkana</t>
  </si>
  <si>
    <t>Leo Kane</t>
  </si>
  <si>
    <t>Derby</t>
  </si>
  <si>
    <t>Hand-Finished Solid Wood Document Frame</t>
  </si>
  <si>
    <t>Miriam Bowman</t>
  </si>
  <si>
    <t>Wirebound Service Call Books, 5 1/2" x 4"</t>
  </si>
  <si>
    <t>Hollywood</t>
  </si>
  <si>
    <t>Iceberg OfficeWorks 42" Round Tables</t>
  </si>
  <si>
    <t>Ricky W Clements</t>
  </si>
  <si>
    <t>Vestavia Hills</t>
  </si>
  <si>
    <t>Roberta Mitchell</t>
  </si>
  <si>
    <t>9-3/4 Diameter Round Wall Clock</t>
  </si>
  <si>
    <t>Paris</t>
  </si>
  <si>
    <t>Fellowes Bases and Tops For Staxonsteel®/High-Stak® Systems</t>
  </si>
  <si>
    <t>Cameron Owens</t>
  </si>
  <si>
    <t>Covington</t>
  </si>
  <si>
    <t>Benjamin Porter</t>
  </si>
  <si>
    <t>Livonia</t>
  </si>
  <si>
    <t>Kathryn Tate</t>
  </si>
  <si>
    <t>Staples Copy Paper (20Lb. and 84 Bright)</t>
  </si>
  <si>
    <t>Marshall Brandt Briggs</t>
  </si>
  <si>
    <t>Maryville</t>
  </si>
  <si>
    <t>Roy Hardison</t>
  </si>
  <si>
    <t>Belkin Premiere Surge Master II 8-outlet surge protector</t>
  </si>
  <si>
    <t>Maureen Herbert Hood</t>
  </si>
  <si>
    <t>Global Leather and Oak Executive Chair, Black</t>
  </si>
  <si>
    <t>Appleton</t>
  </si>
  <si>
    <t>Nathan Jenkins</t>
  </si>
  <si>
    <t>T28 WORLD</t>
  </si>
  <si>
    <t>Pine Bluff</t>
  </si>
  <si>
    <t>Ray Grady</t>
  </si>
  <si>
    <t>Eagle Pass</t>
  </si>
  <si>
    <t>Benjamin Chan</t>
  </si>
  <si>
    <t>Redwood City</t>
  </si>
  <si>
    <t>Julian F Wolfe</t>
  </si>
  <si>
    <t>Hanover Park</t>
  </si>
  <si>
    <t>Louis Parrish</t>
  </si>
  <si>
    <t>Ibico Laser Imprintable Binding System Covers</t>
  </si>
  <si>
    <t>Dixon Ticonderoga Core-Lock Colored Pencils, 48-Color Set</t>
  </si>
  <si>
    <t>Edward Lamm</t>
  </si>
  <si>
    <t>Eldon® Gobal File Keepers</t>
  </si>
  <si>
    <t>New Hampshire</t>
  </si>
  <si>
    <t>Nashua</t>
  </si>
  <si>
    <t>Beth English</t>
  </si>
  <si>
    <t>Elmwood Park</t>
  </si>
  <si>
    <t>Faye Wolf</t>
  </si>
  <si>
    <t>South Orange</t>
  </si>
  <si>
    <t>Vincent Daniel</t>
  </si>
  <si>
    <t>Fruit Cove</t>
  </si>
  <si>
    <t>Helen H Heller</t>
  </si>
  <si>
    <t>Dana Fluorescent Magnifying Lamp, White, 36"</t>
  </si>
  <si>
    <t>Hacienda Heights</t>
  </si>
  <si>
    <t>Avery 494</t>
  </si>
  <si>
    <t>Sharon Ellis</t>
  </si>
  <si>
    <t>Deflect-o SuperTray™ Unbreakable Stackable Tray, Letter, Black</t>
  </si>
  <si>
    <t>Shoreview</t>
  </si>
  <si>
    <t>Rachel Casey</t>
  </si>
  <si>
    <t>Accessory41</t>
  </si>
  <si>
    <t>Marvin Rollins</t>
  </si>
  <si>
    <t>Stamford</t>
  </si>
  <si>
    <t>Paige Mason</t>
  </si>
  <si>
    <t>Hon GuestStacker Chair</t>
  </si>
  <si>
    <t>Norfolk</t>
  </si>
  <si>
    <t>Wilson Jones 14 Line Acrylic Coated Pressboard Data Binders</t>
  </si>
  <si>
    <t>Wilson Jones Ledger-Size, Piano-Hinge Binder, 2", Blue</t>
  </si>
  <si>
    <t>Vanessa Winstead</t>
  </si>
  <si>
    <t>Deluxe Rollaway Locking File with Drawer</t>
  </si>
  <si>
    <t>Pekin</t>
  </si>
  <si>
    <t>Elsie Pridgen</t>
  </si>
  <si>
    <t>Telephone Message Books with Fax/Mobile Section, 4 1/4" x 6"</t>
  </si>
  <si>
    <t>Laguna Hills</t>
  </si>
  <si>
    <t>Dana Burgess</t>
  </si>
  <si>
    <t>Xerox 1985</t>
  </si>
  <si>
    <t>Heather Stern</t>
  </si>
  <si>
    <t>Newington</t>
  </si>
  <si>
    <t>Hazel Khan</t>
  </si>
  <si>
    <t>Ann Steele</t>
  </si>
  <si>
    <t>Kirkland</t>
  </si>
  <si>
    <t>Sharp AL-1530CS Digital Copier</t>
  </si>
  <si>
    <t>Marcia Feldman</t>
  </si>
  <si>
    <t>TI 30X Scientific Calculator</t>
  </si>
  <si>
    <t>Little Rock</t>
  </si>
  <si>
    <t>Lloyd Dickson</t>
  </si>
  <si>
    <t>Xerox 1893</t>
  </si>
  <si>
    <t>Buffalo Grove</t>
  </si>
  <si>
    <t>Erin Ballard</t>
  </si>
  <si>
    <t>Gayle Pearson</t>
  </si>
  <si>
    <t>David Wrenn</t>
  </si>
  <si>
    <t>O'Sullivan Elevations Bookcase, Cherry Finish</t>
  </si>
  <si>
    <t>Georgetown</t>
  </si>
  <si>
    <t>Nelson Hong</t>
  </si>
  <si>
    <t>Hewlett-Packard 4.7GB DVD+R Discs</t>
  </si>
  <si>
    <t>Torrance</t>
  </si>
  <si>
    <t>600 Series Flip</t>
  </si>
  <si>
    <t>Gilbert Godfrey</t>
  </si>
  <si>
    <t>Economy Binders</t>
  </si>
  <si>
    <t>Sault Sainte Marie</t>
  </si>
  <si>
    <t>Nu-Form 106-Key Ergonomic Keyboard w/ Touchpad</t>
  </si>
  <si>
    <t>Xerox 1989</t>
  </si>
  <si>
    <t>Gregory Holden</t>
  </si>
  <si>
    <t>Global Commerce™ Series High-Back Swivel/Tilt Chairs</t>
  </si>
  <si>
    <t>Riverside</t>
  </si>
  <si>
    <t>Jennifer Stanton</t>
  </si>
  <si>
    <t>Winter Garden</t>
  </si>
  <si>
    <t>Gordon Brandt</t>
  </si>
  <si>
    <t>Lorraine Boykin</t>
  </si>
  <si>
    <t>Shirley</t>
  </si>
  <si>
    <t>Glenda Simon</t>
  </si>
  <si>
    <t>GBC VeloBinder Electric Binding Machine</t>
  </si>
  <si>
    <t>Camarillo</t>
  </si>
  <si>
    <t>Imation 3.5 IBM Formatted Diskettes, 10/Box</t>
  </si>
  <si>
    <t>V3682</t>
  </si>
  <si>
    <t>Eugene H Walsh</t>
  </si>
  <si>
    <t>Xerox 20</t>
  </si>
  <si>
    <t>Manitowoc</t>
  </si>
  <si>
    <t>Dwight Robinson</t>
  </si>
  <si>
    <t>1726 Digital Answering Machine</t>
  </si>
  <si>
    <t>Lynne Griffith</t>
  </si>
  <si>
    <t>Hagerstown</t>
  </si>
  <si>
    <t>Fiskars 8" Scissors, 2/Pack</t>
  </si>
  <si>
    <t>Stephen Lam</t>
  </si>
  <si>
    <t>Pahrump</t>
  </si>
  <si>
    <t>Fellowes Stor/Drawer® Steel Plus™ Storage Drawers</t>
  </si>
  <si>
    <t>Michael Tanner</t>
  </si>
  <si>
    <t>Fellowes EZ Multi-Media Keyboard</t>
  </si>
  <si>
    <t>Serrated Blade or Curved Handle Hand Letter Openers</t>
  </si>
  <si>
    <t>Faye Hanna</t>
  </si>
  <si>
    <t>El Dorado Hills</t>
  </si>
  <si>
    <t>Denise Parks</t>
  </si>
  <si>
    <t>Theresa Winters</t>
  </si>
  <si>
    <t>Bryant</t>
  </si>
  <si>
    <t>KF 788</t>
  </si>
  <si>
    <t>Josephine Rao</t>
  </si>
  <si>
    <t>Hammond</t>
  </si>
  <si>
    <t>Harold Albright</t>
  </si>
  <si>
    <t>Caroline Stone</t>
  </si>
  <si>
    <t>Memo Book, 100 Message Capacity, 5 3/8” x 11”</t>
  </si>
  <si>
    <t>Edwin Coley</t>
  </si>
  <si>
    <t>Staples 1 Part Blank Computer Paper</t>
  </si>
  <si>
    <t>Mansfield</t>
  </si>
  <si>
    <t>12-1/2 Diameter Round Wall Clock</t>
  </si>
  <si>
    <t>Tracy Buckley</t>
  </si>
  <si>
    <t>Executive Impressions 14" Contract Wall Clock</t>
  </si>
  <si>
    <t>North Little Rock</t>
  </si>
  <si>
    <t>Judith Shepherd</t>
  </si>
  <si>
    <t>Muskego</t>
  </si>
  <si>
    <t>Donna Braun</t>
  </si>
  <si>
    <t>Hoover</t>
  </si>
  <si>
    <t>Anita Kent</t>
  </si>
  <si>
    <t>Linden</t>
  </si>
  <si>
    <t>Jacob Hirsch</t>
  </si>
  <si>
    <t>Epson LQ-870 Dot Matrix Printer</t>
  </si>
  <si>
    <t>Barrington</t>
  </si>
  <si>
    <t>Sidney Gilliam</t>
  </si>
  <si>
    <t>Rush Hierlooms Collection 1" Thick Stackable Bookcases</t>
  </si>
  <si>
    <t>Riverview</t>
  </si>
  <si>
    <t>Lynn Morrow</t>
  </si>
  <si>
    <t>Avery 501</t>
  </si>
  <si>
    <t>Salem</t>
  </si>
  <si>
    <t>Shannon Aldridge</t>
  </si>
  <si>
    <t>North Olmsted</t>
  </si>
  <si>
    <t>Susan Carroll Berman</t>
  </si>
  <si>
    <t>Carole Miller</t>
  </si>
  <si>
    <t>Austintown</t>
  </si>
  <si>
    <t>Lynn O'Donnell</t>
  </si>
  <si>
    <t>Elgin</t>
  </si>
  <si>
    <t>Manila Recycled Extra-Heavyweight Clasp Envelopes, 6" x 9"</t>
  </si>
  <si>
    <t>Peter McConnell</t>
  </si>
  <si>
    <t>Columbus</t>
  </si>
  <si>
    <t>3M Organizer Strips</t>
  </si>
  <si>
    <t>Imation 3.5 IBM Diskettes, 10/Box</t>
  </si>
  <si>
    <t>GE 4 Foot Flourescent Tube, 40 Watt</t>
  </si>
  <si>
    <t>300 Series Non-Flip</t>
  </si>
  <si>
    <t>Katie Dougherty</t>
  </si>
  <si>
    <t>Hoover Replacement Belts For Soft Guard™ &amp; Commercial Ltweight Upright Vacs, 2/Pk</t>
  </si>
  <si>
    <t>Spanaway</t>
  </si>
  <si>
    <t>Ibico Ibimaster 300 Manual Binding System</t>
  </si>
  <si>
    <t>Laurence Poe</t>
  </si>
  <si>
    <t>Spokane</t>
  </si>
  <si>
    <t>Sally Dunn</t>
  </si>
  <si>
    <t>Tenex Contemporary Contur Chairmats for Low and Medium Pile Carpet, Computer, 39" x 49"</t>
  </si>
  <si>
    <t>Tuscaloosa</t>
  </si>
  <si>
    <t>Debra Batchelor</t>
  </si>
  <si>
    <t>Moscow</t>
  </si>
  <si>
    <t>Eldon Shelf Savers™ Cubes and Bins</t>
  </si>
  <si>
    <t>Lewis Baldwin</t>
  </si>
  <si>
    <t>Montclair</t>
  </si>
  <si>
    <t>Elsie Lane</t>
  </si>
  <si>
    <t>Presstex Flexible Ring Binders</t>
  </si>
  <si>
    <t>Midland</t>
  </si>
  <si>
    <t>Erica R Fuller</t>
  </si>
  <si>
    <t>Clayton</t>
  </si>
  <si>
    <t>Roy Rouse</t>
  </si>
  <si>
    <t>Coeur D Alene</t>
  </si>
  <si>
    <t>Heavy-Duty E-Z-D® Binders</t>
  </si>
  <si>
    <t>Kerry Green</t>
  </si>
  <si>
    <t>Staples #10 Laser &amp; Inkjet Envelopes, 4 1/8" x 9 1/2", 100/Box</t>
  </si>
  <si>
    <t>Indianapolis</t>
  </si>
  <si>
    <t>Frances Jackson</t>
  </si>
  <si>
    <t>Jeffersonville</t>
  </si>
  <si>
    <t>Cynthia Khan</t>
  </si>
  <si>
    <t>Xerox 1950</t>
  </si>
  <si>
    <t>Xerox 224</t>
  </si>
  <si>
    <t>Penny Rich</t>
  </si>
  <si>
    <t>Xerox 1896</t>
  </si>
  <si>
    <t>Minnetonka Mills</t>
  </si>
  <si>
    <t>Ashley Reese</t>
  </si>
  <si>
    <t>Avery® Durable Slant Ring Binders With Label Holder</t>
  </si>
  <si>
    <t>Saint Louis</t>
  </si>
  <si>
    <t>Eileen Riddle</t>
  </si>
  <si>
    <t>Xerox 204</t>
  </si>
  <si>
    <t>Roy</t>
  </si>
  <si>
    <t>Penny O Caldwell</t>
  </si>
  <si>
    <t>Bush® Cubix Conference Tables, Fully Assembled</t>
  </si>
  <si>
    <t>Jeff Spivey</t>
  </si>
  <si>
    <t>Euro Pro Shark Stick Mini Vacuum</t>
  </si>
  <si>
    <t>Stephanie Sun Perry</t>
  </si>
  <si>
    <t>GBC Wire Binding Strips</t>
  </si>
  <si>
    <t>Saratoga</t>
  </si>
  <si>
    <t>Bob Gibson</t>
  </si>
  <si>
    <t>Hon Comfortask® Task/Swivel Chairs</t>
  </si>
  <si>
    <t>Port Huron</t>
  </si>
  <si>
    <t>Panasonic KX-P3626 Dot Matrix Printer</t>
  </si>
  <si>
    <t>Jesse Hutchinson</t>
  </si>
  <si>
    <t>Zebra Zazzle Fluorescent Highlighters</t>
  </si>
  <si>
    <t>Goleta</t>
  </si>
  <si>
    <t>Holmes Cool Mist Humidifier for the Whole House with 8-Gallon Output per Day, Extended Life Filter</t>
  </si>
  <si>
    <t>Allen Nash</t>
  </si>
  <si>
    <t>Waynesboro</t>
  </si>
  <si>
    <t>Joel Burnette</t>
  </si>
  <si>
    <t>Dunwoody</t>
  </si>
  <si>
    <t>Leslie Hawley</t>
  </si>
  <si>
    <t>Canon MP25DIII Desktop Whisper-Quiet Printing Calculator</t>
  </si>
  <si>
    <t>Tulsa</t>
  </si>
  <si>
    <t>Richard McClure</t>
  </si>
  <si>
    <t>Thornton</t>
  </si>
  <si>
    <t>Bush Heritage Pine Collection 5-Shelf Bookcase, Albany Pine Finish, *Special Order</t>
  </si>
  <si>
    <t>i470</t>
  </si>
  <si>
    <t>Kathy Shah</t>
  </si>
  <si>
    <t>Garner</t>
  </si>
  <si>
    <t>Theodore Tyson</t>
  </si>
  <si>
    <t>Romeoville</t>
  </si>
  <si>
    <t>Nicole Pope</t>
  </si>
  <si>
    <t>#10- 4 1/8" x 9 1/2" Security-Tint Envelopes</t>
  </si>
  <si>
    <t>Rocky Mount</t>
  </si>
  <si>
    <t>Hewlett-Packard Deskjet 1220Cse Color Inkjet Printer</t>
  </si>
  <si>
    <t>Rick Ellis</t>
  </si>
  <si>
    <t>AT&amp;T 2230 Dual Handset Phone With Caller ID/Call Waiting</t>
  </si>
  <si>
    <t>Angela Rose</t>
  </si>
  <si>
    <t>Xerox 1961</t>
  </si>
  <si>
    <t>Lorraine Kelly</t>
  </si>
  <si>
    <t>6160</t>
  </si>
  <si>
    <t>Puyallup</t>
  </si>
  <si>
    <t>Elisabeth Massey</t>
  </si>
  <si>
    <t>Avery 479</t>
  </si>
  <si>
    <t>Prescott</t>
  </si>
  <si>
    <t>Kate Lehman</t>
  </si>
  <si>
    <t>Westinghouse Clip-On Gooseneck Lamps</t>
  </si>
  <si>
    <t>Dundalk</t>
  </si>
  <si>
    <t>Gloria Jacobs</t>
  </si>
  <si>
    <t>Eldon® 200 Class™ Desk Accessories, Burgundy</t>
  </si>
  <si>
    <t>Elmira</t>
  </si>
  <si>
    <t>Laurence Hull</t>
  </si>
  <si>
    <t>Portage</t>
  </si>
  <si>
    <t>Alison Stewart</t>
  </si>
  <si>
    <t>US Robotics 56K V.92 External Faxmodem</t>
  </si>
  <si>
    <t>Des Plaines</t>
  </si>
  <si>
    <t>Fellowes Staxonsteel® Drawer Files</t>
  </si>
  <si>
    <t>Accessory39</t>
  </si>
  <si>
    <t>Andrea Shaw</t>
  </si>
  <si>
    <t>Crate-A-Files™</t>
  </si>
  <si>
    <t>Danville</t>
  </si>
  <si>
    <t>Avery Hanging File Binders</t>
  </si>
  <si>
    <t>Amanda Conner</t>
  </si>
  <si>
    <t>Papillion</t>
  </si>
  <si>
    <t>Anne Bland</t>
  </si>
  <si>
    <t>Channelview</t>
  </si>
  <si>
    <t>Xerox 1973</t>
  </si>
  <si>
    <t>Brian Bennett</t>
  </si>
  <si>
    <t>Cheektowaga</t>
  </si>
  <si>
    <t>Anne Schultz</t>
  </si>
  <si>
    <t>Accessory4</t>
  </si>
  <si>
    <t>Athens</t>
  </si>
  <si>
    <t>Megan York</t>
  </si>
  <si>
    <t>Caldwell</t>
  </si>
  <si>
    <t>Yvonne Fox</t>
  </si>
  <si>
    <t>Tenex B1-RE Series Chair Mats for Low Pile Carpets</t>
  </si>
  <si>
    <t>Watauga</t>
  </si>
  <si>
    <t>Francis Spivey</t>
  </si>
  <si>
    <t>Lynda Herman</t>
  </si>
  <si>
    <t>Rodney Kearney</t>
  </si>
  <si>
    <t>Metairie</t>
  </si>
  <si>
    <t>Kent Burton</t>
  </si>
  <si>
    <t>Delaware</t>
  </si>
  <si>
    <t>Jessica Huffman</t>
  </si>
  <si>
    <t>Dublin</t>
  </si>
  <si>
    <t>Rhonda Stein</t>
  </si>
  <si>
    <t>i270</t>
  </si>
  <si>
    <t>Salisbury</t>
  </si>
  <si>
    <t>Vickie Morse</t>
  </si>
  <si>
    <t>Xerox 210</t>
  </si>
  <si>
    <t>Reisterstown</t>
  </si>
  <si>
    <t>Arnold Floyd Blair</t>
  </si>
  <si>
    <t>Rock Hill</t>
  </si>
  <si>
    <t>Rhonda Bryant</t>
  </si>
  <si>
    <t>Xerox 216</t>
  </si>
  <si>
    <t>Winter Haven</t>
  </si>
  <si>
    <t>Fellowes Recycled Storage Drawers</t>
  </si>
  <si>
    <t>Alison Peters Wooten</t>
  </si>
  <si>
    <t>West Islip</t>
  </si>
  <si>
    <t>Neal Weber</t>
  </si>
  <si>
    <t>Rita Barton</t>
  </si>
  <si>
    <t>Ridgewood</t>
  </si>
  <si>
    <t>Lynn Bell</t>
  </si>
  <si>
    <t>Linden® 12" Wall Clock With Oak Frame</t>
  </si>
  <si>
    <t>Bennington</t>
  </si>
  <si>
    <t>Colleen Marsh</t>
  </si>
  <si>
    <t>Global Leather Highback Executive Chair with Pneumatic Height Adjustment, Black</t>
  </si>
  <si>
    <t>Ken H Frazier</t>
  </si>
  <si>
    <t>StarTAC 7760</t>
  </si>
  <si>
    <t>Oakton</t>
  </si>
  <si>
    <t>Ricky Allred</t>
  </si>
  <si>
    <t>Columbia</t>
  </si>
  <si>
    <t>Jeanne Werner</t>
  </si>
  <si>
    <t>O'Sullivan Living Dimensions 3-Shelf Bookcases</t>
  </si>
  <si>
    <t>Sandra Sharma</t>
  </si>
  <si>
    <t>Morristown</t>
  </si>
  <si>
    <t>Laurie Petty</t>
  </si>
  <si>
    <t>Jupiter</t>
  </si>
  <si>
    <t>Charlie Moore</t>
  </si>
  <si>
    <t>Anderson</t>
  </si>
  <si>
    <t>Edgar Stone</t>
  </si>
  <si>
    <t>Peggy Lanier</t>
  </si>
  <si>
    <t>Angle-D Binders with Locking Rings, Label Holders</t>
  </si>
  <si>
    <t>Roseville</t>
  </si>
  <si>
    <t>Dorothy Holt</t>
  </si>
  <si>
    <t>Advantus Employee of the Month Certificate Frame, 11 x 13-1/2</t>
  </si>
  <si>
    <t>Irving</t>
  </si>
  <si>
    <t>Beverly Cooke Brooks</t>
  </si>
  <si>
    <t>SC7868i</t>
  </si>
  <si>
    <t>Stratford</t>
  </si>
  <si>
    <t>Lindsay Link</t>
  </si>
  <si>
    <t>Belkin 107-key enhanced keyboard, USB/PS/2 interface</t>
  </si>
  <si>
    <t>Lewiston</t>
  </si>
  <si>
    <t>Emma Bloom</t>
  </si>
  <si>
    <t>Seth Thomas 14" Putty-Colored Wall Clock</t>
  </si>
  <si>
    <t>Rock Springs</t>
  </si>
  <si>
    <t>Marvin Parrott</t>
  </si>
  <si>
    <t>Newell 310</t>
  </si>
  <si>
    <t>Duluth</t>
  </si>
  <si>
    <t>Sandy Ellington</t>
  </si>
  <si>
    <t>Reno</t>
  </si>
  <si>
    <t>Eugene Brewer Knox</t>
  </si>
  <si>
    <t>Acco® Hot Clips™ Clips to Go</t>
  </si>
  <si>
    <t>Bethpage</t>
  </si>
  <si>
    <t>Leah Davenport</t>
  </si>
  <si>
    <t>Storex DuraTech Recycled Plastic Frosted Binders</t>
  </si>
  <si>
    <t>Hesperia</t>
  </si>
  <si>
    <t>Brett Ingram</t>
  </si>
  <si>
    <t>Harker Heights</t>
  </si>
  <si>
    <t>Emma Buckley</t>
  </si>
  <si>
    <t>Holmes Replacement Filter for HEPA Air Cleaner, Very Large Room, HEPA Filter</t>
  </si>
  <si>
    <t>Boston 1730 StandUp Electric Pencil Sharpener</t>
  </si>
  <si>
    <t>Erik Barr</t>
  </si>
  <si>
    <t>Xerox 1982</t>
  </si>
  <si>
    <t>Calumet City</t>
  </si>
  <si>
    <t>Tom Hoyle Honeycutt</t>
  </si>
  <si>
    <t>Eldon Cleatmat® Chair Mats for Medium Pile Carpets</t>
  </si>
  <si>
    <t>Warren</t>
  </si>
  <si>
    <t>Bradley Schroeder</t>
  </si>
  <si>
    <t>Fellowes PB300 Plastic Comb Binding Machine</t>
  </si>
  <si>
    <t>Sharon Long</t>
  </si>
  <si>
    <t>Master Giant Foot® Doorstop, Safety Yellow</t>
  </si>
  <si>
    <t>Marietta</t>
  </si>
  <si>
    <t>Lindsay O'Connell</t>
  </si>
  <si>
    <t>Canon BP1200DH 12-Digit Bubble Jet Printing Calculator</t>
  </si>
  <si>
    <t>688</t>
  </si>
  <si>
    <t>Teresa Bishop</t>
  </si>
  <si>
    <t>Staples Surge Protector 6 outlet</t>
  </si>
  <si>
    <t>Bakersfield</t>
  </si>
  <si>
    <t>Eldon Radial Chair Mat for Low to Medium Pile Carpets</t>
  </si>
  <si>
    <t>Bobby Clements</t>
  </si>
  <si>
    <t>Joyce Knox</t>
  </si>
  <si>
    <t>Imation Neon Mac Format Diskettes, 10/Pack</t>
  </si>
  <si>
    <t>Parkersburg</t>
  </si>
  <si>
    <t>Chris Ford</t>
  </si>
  <si>
    <t>Camp Springs</t>
  </si>
  <si>
    <t>Anthony Foley</t>
  </si>
  <si>
    <t>Joyce Kern</t>
  </si>
  <si>
    <t>Xerox 1974</t>
  </si>
  <si>
    <t>Sterling Heights</t>
  </si>
  <si>
    <t>Jenny Hawkins</t>
  </si>
  <si>
    <t>Stevens Point</t>
  </si>
  <si>
    <t>Grace McNeill Hunt</t>
  </si>
  <si>
    <t>Sudbury</t>
  </si>
  <si>
    <t>Quality Park Security Envelopes</t>
  </si>
  <si>
    <t>Beverly Cameron</t>
  </si>
  <si>
    <t>Apex</t>
  </si>
  <si>
    <t>Carolyn Hoffman</t>
  </si>
  <si>
    <t>Honeywell Quietcare HEPA Air Cleaner</t>
  </si>
  <si>
    <t>Xerox 1908</t>
  </si>
  <si>
    <t>Arnold Gay</t>
  </si>
  <si>
    <t>Bush Cubix Collection Bookcases, Fully Assembled</t>
  </si>
  <si>
    <t>Chandler</t>
  </si>
  <si>
    <t>Edward Leonard</t>
  </si>
  <si>
    <t>Avery 49</t>
  </si>
  <si>
    <t>Fresno</t>
  </si>
  <si>
    <t>Renee Alston</t>
  </si>
  <si>
    <t>Pressboard Data Binder, Crimson, 12" X 8 1/2"</t>
  </si>
  <si>
    <t>Drexel Hill</t>
  </si>
  <si>
    <t>8860</t>
  </si>
  <si>
    <t>Geraldine Puckett</t>
  </si>
  <si>
    <t>Deborah Paul</t>
  </si>
  <si>
    <t>West Linn</t>
  </si>
  <si>
    <t>Brother DCP1000 Digital 3 in 1 Multifunction Machine</t>
  </si>
  <si>
    <t>Toni Owens Poe</t>
  </si>
  <si>
    <t>GBC Standard Therm-A-Bind Covers</t>
  </si>
  <si>
    <t>Munster</t>
  </si>
  <si>
    <t>Staples Premium Bright 1-Part Blank Computer Paper</t>
  </si>
  <si>
    <t>Robyn Hayes</t>
  </si>
  <si>
    <t>Sanford 52201 APSCO Electric Pencil Sharpener</t>
  </si>
  <si>
    <t>Brentwood</t>
  </si>
  <si>
    <t>Bob Berg</t>
  </si>
  <si>
    <t>Panasonic KP-310 Heavy-Duty Electric Pencil Sharpener</t>
  </si>
  <si>
    <t>North Miami</t>
  </si>
  <si>
    <t>Stuart C Robinson</t>
  </si>
  <si>
    <t>North Ridgeville</t>
  </si>
  <si>
    <t>Diane Lu</t>
  </si>
  <si>
    <t>Tallahassee</t>
  </si>
  <si>
    <t>Joy Kaplan McNeill</t>
  </si>
  <si>
    <t>Xerox 23</t>
  </si>
  <si>
    <t>Carlsbad</t>
  </si>
  <si>
    <t>Erika Morgan</t>
  </si>
  <si>
    <t>Seymour</t>
  </si>
  <si>
    <t>Marianne Connor</t>
  </si>
  <si>
    <t>Lawrence Hester</t>
  </si>
  <si>
    <t>Xerox 1976</t>
  </si>
  <si>
    <t>Alexander O'Brien</t>
  </si>
  <si>
    <t>Houston</t>
  </si>
  <si>
    <t>Christopher Bryant</t>
  </si>
  <si>
    <t>Rush Hierlooms Collection Rich Wood Bookcases</t>
  </si>
  <si>
    <t>Santa Clara</t>
  </si>
  <si>
    <t>Ruby Gibbons</t>
  </si>
  <si>
    <t>High Speed Automatic Electric Letter Opener</t>
  </si>
  <si>
    <t>Forest Park</t>
  </si>
  <si>
    <t>Benjamin Kaufman</t>
  </si>
  <si>
    <t>Belkin 105-Key Black Keyboard</t>
  </si>
  <si>
    <t>Belchertown</t>
  </si>
  <si>
    <t>Amy Shea</t>
  </si>
  <si>
    <t>Ottumwa</t>
  </si>
  <si>
    <t>Xerox 1891</t>
  </si>
  <si>
    <t>Jeanne Nguyen</t>
  </si>
  <si>
    <t>DAX Wood Document Frame.</t>
  </si>
  <si>
    <t>Fairborn</t>
  </si>
  <si>
    <t>Connie Bunn</t>
  </si>
  <si>
    <t>Marshalltown</t>
  </si>
  <si>
    <t>Daniel Huff</t>
  </si>
  <si>
    <t>West Allis</t>
  </si>
  <si>
    <t>Nu-Dell Executive Frame</t>
  </si>
  <si>
    <t>Alicia Curtis</t>
  </si>
  <si>
    <t>Xerox 200</t>
  </si>
  <si>
    <t>Tacoma</t>
  </si>
  <si>
    <t>Danielle Daniel</t>
  </si>
  <si>
    <t>Malcolm French</t>
  </si>
  <si>
    <t>Acme Kleencut® Forged Steel Scissors</t>
  </si>
  <si>
    <t>Merrimack</t>
  </si>
  <si>
    <t>Tenex Personal Project File with Scoop Front Design, Black</t>
  </si>
  <si>
    <t>Lee Xu</t>
  </si>
  <si>
    <t>Gretchen Best Wilkins</t>
  </si>
  <si>
    <t>Fellowes Smart Design 104-Key Enhanced Keyboard, PS/2 Adapter, Platinum</t>
  </si>
  <si>
    <t>Lynnwood</t>
  </si>
  <si>
    <t>Norman Shields</t>
  </si>
  <si>
    <t>Vacaville</t>
  </si>
  <si>
    <t>Cathy Simon</t>
  </si>
  <si>
    <t>Council Bluffs</t>
  </si>
  <si>
    <t>Epson DFX5000+ Dot Matrix Printer</t>
  </si>
  <si>
    <t>Newell 320</t>
  </si>
  <si>
    <t>Franklin Spencer</t>
  </si>
  <si>
    <t>Adesso Programmable 142-Key Keyboard</t>
  </si>
  <si>
    <t>Emporia</t>
  </si>
  <si>
    <t>Eileen McDonald</t>
  </si>
  <si>
    <t>Sally House</t>
  </si>
  <si>
    <t>Tara Powers Underwood</t>
  </si>
  <si>
    <t>Laurie Moon</t>
  </si>
  <si>
    <t>Ossining</t>
  </si>
  <si>
    <t>Fellowes Mighty 8 Compact Surge Protector</t>
  </si>
  <si>
    <t>Phyllis Little</t>
  </si>
  <si>
    <t>Bartlett</t>
  </si>
  <si>
    <t>Ellen Sparks</t>
  </si>
  <si>
    <t>Accessory21</t>
  </si>
  <si>
    <t>Neenah</t>
  </si>
  <si>
    <t>Patsy Harmon</t>
  </si>
  <si>
    <t>Lufkin</t>
  </si>
  <si>
    <t>Joe D Dean</t>
  </si>
  <si>
    <t>Beverly Roberts</t>
  </si>
  <si>
    <t>Savannah</t>
  </si>
  <si>
    <t>Christopher Norton Patterson</t>
  </si>
  <si>
    <t>Staples SlimLine Pencil Sharpener</t>
  </si>
  <si>
    <t>Macon</t>
  </si>
  <si>
    <t>Robert Cowan</t>
  </si>
  <si>
    <t>Pueblo West</t>
  </si>
  <si>
    <t>Edwin Chung</t>
  </si>
  <si>
    <t>Natick</t>
  </si>
  <si>
    <t>Tiffany Grossman Hardin</t>
  </si>
  <si>
    <t>Sandwich</t>
  </si>
  <si>
    <t>Larry Church</t>
  </si>
  <si>
    <t>Tennsco Industrial Shelving</t>
  </si>
  <si>
    <t>Highland</t>
  </si>
  <si>
    <t>Laurence Cummings</t>
  </si>
  <si>
    <t>Lehigh Acres</t>
  </si>
  <si>
    <t>Gene Gilliam</t>
  </si>
  <si>
    <t>Balt Split Level Computer Training Table</t>
  </si>
  <si>
    <t>Willie Robinson</t>
  </si>
  <si>
    <t>Coram</t>
  </si>
  <si>
    <t>Advantus Map Pennant Flags and Round Head Tacks</t>
  </si>
  <si>
    <t>Novimex Turbo Task Chair</t>
  </si>
  <si>
    <t>Kara Foster</t>
  </si>
  <si>
    <t>Lock-Up Easel 'Spel-Binder'</t>
  </si>
  <si>
    <t>Marion</t>
  </si>
  <si>
    <t>Neil Song</t>
  </si>
  <si>
    <t>Decoflex Hanging Personal Folder File</t>
  </si>
  <si>
    <t>Pflugerville</t>
  </si>
  <si>
    <t>Kimberly Reilly</t>
  </si>
  <si>
    <t>Killeen</t>
  </si>
  <si>
    <t>Ellen Beck</t>
  </si>
  <si>
    <t>Scottsdale</t>
  </si>
  <si>
    <t>Xerox 1964</t>
  </si>
  <si>
    <t>Nina Bowles</t>
  </si>
  <si>
    <t>Bionaire Personal Warm Mist Humidifier/Vaporizer</t>
  </si>
  <si>
    <t>Eldon Expressions Punched Metal &amp; Wood Desk Accessories, Pewter &amp; Cherry</t>
  </si>
  <si>
    <t>David Hoyle</t>
  </si>
  <si>
    <t>Tensor Computer Mounted Lamp</t>
  </si>
  <si>
    <t>Bloomington</t>
  </si>
  <si>
    <t>Gladys Holloway</t>
  </si>
  <si>
    <t>Accessory17</t>
  </si>
  <si>
    <t>Oakland Park</t>
  </si>
  <si>
    <t>DMI Eclipse Executive Suite Bookcases</t>
  </si>
  <si>
    <t>James Nicholson</t>
  </si>
  <si>
    <t>Annandale</t>
  </si>
  <si>
    <t>Joseph Hurst</t>
  </si>
  <si>
    <t>Ibico Presentation Index for Binding Systems</t>
  </si>
  <si>
    <t>Levittown</t>
  </si>
  <si>
    <t>Xerox 207</t>
  </si>
  <si>
    <t>Sara O'Connor</t>
  </si>
  <si>
    <t>Loveland</t>
  </si>
  <si>
    <t>Xerox 1933</t>
  </si>
  <si>
    <t>Tim Connolly</t>
  </si>
  <si>
    <t>Sauder Forest Hills Library, Woodland Oak Finish</t>
  </si>
  <si>
    <t>Inver Grove Heights</t>
  </si>
  <si>
    <t>Talkabout T8367</t>
  </si>
  <si>
    <t>Robert Rollins</t>
  </si>
  <si>
    <t>Microsoft Natural Multimedia Keyboard</t>
  </si>
  <si>
    <t>Newnan</t>
  </si>
  <si>
    <t>Sanford Liquid Accent Highlighters</t>
  </si>
  <si>
    <t>Annette McIntyre</t>
  </si>
  <si>
    <t>Xerox 1936</t>
  </si>
  <si>
    <t>Kennesaw</t>
  </si>
  <si>
    <t>Claudia Webb</t>
  </si>
  <si>
    <t>Iris® 3-Drawer Stacking Bin, Black</t>
  </si>
  <si>
    <t>Indian Trail</t>
  </si>
  <si>
    <t>Sandra Faulkner</t>
  </si>
  <si>
    <t>Holmes Harmony HEPA Air Purifier for 17 x 20 Room</t>
  </si>
  <si>
    <t>Portsmouth</t>
  </si>
  <si>
    <t>Christina Zhu</t>
  </si>
  <si>
    <t>Lumber Crayons</t>
  </si>
  <si>
    <t>Canon P1-DHIII Palm Printing Calculator</t>
  </si>
  <si>
    <t>Jessie Kelly</t>
  </si>
  <si>
    <t>Logitech Access Keyboard</t>
  </si>
  <si>
    <t>Johnny Reid</t>
  </si>
  <si>
    <t>Crown Point</t>
  </si>
  <si>
    <t>Deflect-o EconoMat Nonstudded, No Bevel Mat</t>
  </si>
  <si>
    <t>Xerox 1882</t>
  </si>
  <si>
    <t>Letter/Legal File Tote with Clear Snap-On Lid, Black Granite</t>
  </si>
  <si>
    <t>Executive Impressions 13-1/2" Indoor/Outdoor Wall Clock</t>
  </si>
  <si>
    <t>Marion Owens</t>
  </si>
  <si>
    <t>Bethlehem</t>
  </si>
  <si>
    <t>Marvin MacDonald</t>
  </si>
  <si>
    <t>Recycled Desk Saver Line "While You Were Out" Book, 5 1/2" X 4"</t>
  </si>
  <si>
    <t>Sara Faulkner</t>
  </si>
  <si>
    <t>Avery 487</t>
  </si>
  <si>
    <t>Calexico</t>
  </si>
  <si>
    <t>Carlos Hanson</t>
  </si>
  <si>
    <t>Executive Impressions 8-1/2" Career Panel/Partition Cubicle Clock</t>
  </si>
  <si>
    <t>Rapid City</t>
  </si>
  <si>
    <t>Xerox 1962</t>
  </si>
  <si>
    <t>Cheryl Guthrie</t>
  </si>
  <si>
    <t>Dean Solomon</t>
  </si>
  <si>
    <t>Gastonia</t>
  </si>
  <si>
    <t>Grace Black</t>
  </si>
  <si>
    <t>North Miami Beach</t>
  </si>
  <si>
    <t>StarTAC Analog</t>
  </si>
  <si>
    <t>Wilson Jones DublLock® D-Ring Binders</t>
  </si>
  <si>
    <t>Janet Zhang</t>
  </si>
  <si>
    <t>Apple Valley</t>
  </si>
  <si>
    <t>Mitchell Goldberg</t>
  </si>
  <si>
    <t>Accessory9</t>
  </si>
  <si>
    <t>7160</t>
  </si>
  <si>
    <t>Marguerite Rodgers</t>
  </si>
  <si>
    <t>SANFORD Major Accent™ Highlighters</t>
  </si>
  <si>
    <t>Commack</t>
  </si>
  <si>
    <t>HP Office Recycled Paper (20Lb. and 87 Bright)</t>
  </si>
  <si>
    <t>Eva Simpson</t>
  </si>
  <si>
    <t>Eldon® Expressions™ Wood Desk Accessories, Oak</t>
  </si>
  <si>
    <t>Carrollton</t>
  </si>
  <si>
    <t>Marvin Reid</t>
  </si>
  <si>
    <t>Faye Silver</t>
  </si>
  <si>
    <t>Xerox 220</t>
  </si>
  <si>
    <t>Crofton</t>
  </si>
  <si>
    <t>Milton Harrell</t>
  </si>
  <si>
    <t>Rotterdam</t>
  </si>
  <si>
    <t>Alvin Mullins</t>
  </si>
  <si>
    <t>Dana Rankin</t>
  </si>
  <si>
    <t>Microsoft Natural Keyboard Elite</t>
  </si>
  <si>
    <t>Twin Falls</t>
  </si>
  <si>
    <t>Wilson Jones® Four-Pocket Poly Binders</t>
  </si>
  <si>
    <t>Sam Rouse</t>
  </si>
  <si>
    <t>Accessory6</t>
  </si>
  <si>
    <t>Adam Saunders Gray</t>
  </si>
  <si>
    <t>Acco Pressboard Covers with Storage Hooks, 14 7/8" x 11", Light Blue</t>
  </si>
  <si>
    <t>Colorado Springs</t>
  </si>
  <si>
    <t>Clifford Webb</t>
  </si>
  <si>
    <t>Townsend</t>
  </si>
  <si>
    <t>Hazel Dale</t>
  </si>
  <si>
    <t>Accessory36</t>
  </si>
  <si>
    <t>Claudia White</t>
  </si>
  <si>
    <t>Novimex Fabric Task Chair</t>
  </si>
  <si>
    <t>Gallatin</t>
  </si>
  <si>
    <t>Jenny Petty</t>
  </si>
  <si>
    <t>Xerox 212</t>
  </si>
  <si>
    <t>Manchester</t>
  </si>
  <si>
    <t>Terry Klein</t>
  </si>
  <si>
    <t>Rutland</t>
  </si>
  <si>
    <t>Michelle Steele</t>
  </si>
  <si>
    <t>Enterprise</t>
  </si>
  <si>
    <t>Wanda Harris</t>
  </si>
  <si>
    <t>Hudson</t>
  </si>
  <si>
    <t>Catalog Binders with Expanding Posts</t>
  </si>
  <si>
    <t>Claire Warren</t>
  </si>
  <si>
    <t>Holmes Replacement Filter for HEPA Air Cleaner, Medium Room</t>
  </si>
  <si>
    <t>New London</t>
  </si>
  <si>
    <t>Brad H Blake</t>
  </si>
  <si>
    <t>Letter Size Cart</t>
  </si>
  <si>
    <t>Gainesville</t>
  </si>
  <si>
    <t>Samantha Weaver</t>
  </si>
  <si>
    <t>Overland Park</t>
  </si>
  <si>
    <t>Leroy Blanchard</t>
  </si>
  <si>
    <t>Pat Baker</t>
  </si>
  <si>
    <t>Kensington 6 Outlet MasterPiece® HOMEOFFICE Power Control Center</t>
  </si>
  <si>
    <t>Lakewood</t>
  </si>
  <si>
    <t>Colleen Andrews</t>
  </si>
  <si>
    <t>Global Push Button Manager's Chair, Indigo</t>
  </si>
  <si>
    <t>Mint Hill</t>
  </si>
  <si>
    <t>Francis I Davis</t>
  </si>
  <si>
    <t>Milwaukee</t>
  </si>
  <si>
    <t>Luis Kerr</t>
  </si>
  <si>
    <t>Atlantic Metals Mobile 5-Shelf Bookcases, Custom Colors</t>
  </si>
  <si>
    <t>Yucaipa</t>
  </si>
  <si>
    <t>Epson DFX-8500 Dot Matrix Printer</t>
  </si>
  <si>
    <t>Advantus 10-Drawer Portable Organizer, Chrome Metal Frame, Smoke Drawers</t>
  </si>
  <si>
    <t>Kathryn Wolfe</t>
  </si>
  <si>
    <t>GBC Plastic Binding Combs</t>
  </si>
  <si>
    <t>Plainview</t>
  </si>
  <si>
    <t>Arthur Lowe Nash</t>
  </si>
  <si>
    <t>Potomac</t>
  </si>
  <si>
    <t>Francis Evans</t>
  </si>
  <si>
    <t>Hoover Replacement Belt for Commercial Guardsman Heavy-Duty Upright Vacuum</t>
  </si>
  <si>
    <t>Hannah Tyson</t>
  </si>
  <si>
    <t>Avery® 3 1/2" Diskette Storage Pages, 10/Pack</t>
  </si>
  <si>
    <t>Paragould</t>
  </si>
  <si>
    <t>Wayne Bass</t>
  </si>
  <si>
    <t>Accessory31</t>
  </si>
  <si>
    <t>Joan Bowers</t>
  </si>
  <si>
    <t>York</t>
  </si>
  <si>
    <t>Lucille Buchanan</t>
  </si>
  <si>
    <t>Eldon Expressions™ Desk Accessory, Wood Photo Frame, Mahogany</t>
  </si>
  <si>
    <t>Willoughby</t>
  </si>
  <si>
    <t>Ronald O'Neill</t>
  </si>
  <si>
    <t>Avery Durable Poly Binders</t>
  </si>
  <si>
    <t>Kenneth Capps</t>
  </si>
  <si>
    <t>Howard Miller 16" Diameter Gallery Wall Clock</t>
  </si>
  <si>
    <t>Melbourne</t>
  </si>
  <si>
    <t>Natalie Aldridge</t>
  </si>
  <si>
    <t>Merritt Island</t>
  </si>
  <si>
    <t>Florence Gold</t>
  </si>
  <si>
    <t>Eldon Expressions Punched Metal &amp; Wood Desk Accessories, Black &amp; Cherry</t>
  </si>
  <si>
    <t>Fairmont</t>
  </si>
  <si>
    <t>Nina Horne Kelly</t>
  </si>
  <si>
    <t>Christopher Meadows</t>
  </si>
  <si>
    <t>Harrison</t>
  </si>
  <si>
    <t>Penny Leach</t>
  </si>
  <si>
    <t>Hackensack</t>
  </si>
  <si>
    <t>Gina Curry</t>
  </si>
  <si>
    <t>Iselin</t>
  </si>
  <si>
    <t>Juan Justice</t>
  </si>
  <si>
    <t>Saint Paul</t>
  </si>
  <si>
    <t>Sauder Facets Collection Locker/File Cabinet, Sky Alder Finish</t>
  </si>
  <si>
    <t>Lois Hansen</t>
  </si>
  <si>
    <t>G.E. Halogen Desk Lamp Bulbs</t>
  </si>
  <si>
    <t>Henry O'Connell</t>
  </si>
  <si>
    <t>Leander</t>
  </si>
  <si>
    <t>Steve Raynor</t>
  </si>
  <si>
    <t>Taylors</t>
  </si>
  <si>
    <t>Gretchen Levine</t>
  </si>
  <si>
    <t>Chromcraft 48" x 96" Racetrack Double Pedestal Table</t>
  </si>
  <si>
    <t>Lima</t>
  </si>
  <si>
    <t>Allan Dickinson</t>
  </si>
  <si>
    <t>Van Buren</t>
  </si>
  <si>
    <t>Ruth Dudley</t>
  </si>
  <si>
    <t>Advantus Push Pins</t>
  </si>
  <si>
    <t>Calvin Conway</t>
  </si>
  <si>
    <t>Old Bridge</t>
  </si>
  <si>
    <t>Julia Reynolds</t>
  </si>
  <si>
    <t>Arvada</t>
  </si>
  <si>
    <t>Kelly Sawyer</t>
  </si>
  <si>
    <t>Lafayette</t>
  </si>
  <si>
    <t>June Roberts</t>
  </si>
  <si>
    <t>Martin-Yale Premier Letter Opener</t>
  </si>
  <si>
    <t>Gerald Petty</t>
  </si>
  <si>
    <t>600 Series Non-Flip</t>
  </si>
  <si>
    <t>Lancaster</t>
  </si>
  <si>
    <t>Fellowes Officeware™ Wire Shelving</t>
  </si>
  <si>
    <t>Maurice Kelly</t>
  </si>
  <si>
    <t>Lakeland</t>
  </si>
  <si>
    <t>Stephanie Hawkins</t>
  </si>
  <si>
    <t>Greenfield</t>
  </si>
  <si>
    <t>Marian Willis</t>
  </si>
  <si>
    <t>La Vista</t>
  </si>
  <si>
    <t>Caroline Johnston</t>
  </si>
  <si>
    <t>Lois Hamilton</t>
  </si>
  <si>
    <t>Dover</t>
  </si>
  <si>
    <t>Jason Bray</t>
  </si>
  <si>
    <t>Mission Viejo</t>
  </si>
  <si>
    <t>Kerry Wilkerson</t>
  </si>
  <si>
    <t>Ted Crowder</t>
  </si>
  <si>
    <t>Micro Innovations Media Access Pro Keyboard</t>
  </si>
  <si>
    <t>James Beck</t>
  </si>
  <si>
    <t>Flagstaff</t>
  </si>
  <si>
    <t>Eldon Executive Woodline II Cherry Finish Desk Accessories</t>
  </si>
  <si>
    <t>Eleanor Swain</t>
  </si>
  <si>
    <t>Keytronic Designer 104- Key Black Keyboard</t>
  </si>
  <si>
    <t>Seth Merrill</t>
  </si>
  <si>
    <t>Executive Impressions 12" Wall Clock</t>
  </si>
  <si>
    <t>Charles Ward</t>
  </si>
  <si>
    <t>g520</t>
  </si>
  <si>
    <t>Moreno Valley</t>
  </si>
  <si>
    <t>Gene Heath Cross</t>
  </si>
  <si>
    <t>Belkin MediaBoard 104- Keyboard</t>
  </si>
  <si>
    <t>Jamestown</t>
  </si>
  <si>
    <t>Fellowes Strictly Business® Drawer File, Letter/Legal Size</t>
  </si>
  <si>
    <t>Evan Kelley</t>
  </si>
  <si>
    <t>Garden City</t>
  </si>
  <si>
    <t>Max Hubbard</t>
  </si>
  <si>
    <t>Avery 485</t>
  </si>
  <si>
    <t>Winter Park</t>
  </si>
  <si>
    <t>Helen Ferguson</t>
  </si>
  <si>
    <t>Winter Springs</t>
  </si>
  <si>
    <t>Timothy Reese</t>
  </si>
  <si>
    <t>Grip Seal Envelopes</t>
  </si>
  <si>
    <t>Smithtown</t>
  </si>
  <si>
    <t>Diana Coble Hubbard</t>
  </si>
  <si>
    <t>Grand Prairie</t>
  </si>
  <si>
    <t>Benjamin Lam</t>
  </si>
  <si>
    <t>Prang Colored Pencils</t>
  </si>
  <si>
    <t>Xerox 1932</t>
  </si>
  <si>
    <t>Wayne Lutz</t>
  </si>
  <si>
    <t>TDK 4.7GB DVD-R Spindle, 15/Pack</t>
  </si>
  <si>
    <t>Hopkinton</t>
  </si>
  <si>
    <t>Meredith Humphrey</t>
  </si>
  <si>
    <t>Jet-Pak Recycled Peel 'N' Seal Padded Mailers</t>
  </si>
  <si>
    <t>Cary</t>
  </si>
  <si>
    <t>Personal Creations™ Ink Jet Cards and Labels</t>
  </si>
  <si>
    <t>Aluminum Document Frame</t>
  </si>
  <si>
    <t>Karen Warren</t>
  </si>
  <si>
    <t>Fridley</t>
  </si>
  <si>
    <t>Marcia Greenberg</t>
  </si>
  <si>
    <t>Hon Metal Bookcases, Black</t>
  </si>
  <si>
    <t>Bullhead City</t>
  </si>
  <si>
    <t>Shawn Stern</t>
  </si>
  <si>
    <t>Acme® Office Executive Series Stainless Steel Trimmers</t>
  </si>
  <si>
    <t>Tysons Corner</t>
  </si>
  <si>
    <t>Glenda Herbert</t>
  </si>
  <si>
    <t>Huntington Beach</t>
  </si>
  <si>
    <t>Gary Hester</t>
  </si>
  <si>
    <t>Flower Mound</t>
  </si>
  <si>
    <t>Sandy Hunt</t>
  </si>
  <si>
    <t>Altamonte Springs</t>
  </si>
  <si>
    <t>Kara Patton</t>
  </si>
  <si>
    <t>Carpentersville</t>
  </si>
  <si>
    <t>Gordon Walker</t>
  </si>
  <si>
    <t>Cabot</t>
  </si>
  <si>
    <t>Dwight M Carr</t>
  </si>
  <si>
    <t>Fuji Slim Jewel Case CD-R</t>
  </si>
  <si>
    <t>Mcminnville</t>
  </si>
  <si>
    <t>Annie Sherrill</t>
  </si>
  <si>
    <t>5185</t>
  </si>
  <si>
    <t>Odessa</t>
  </si>
  <si>
    <t>Joanne Church</t>
  </si>
  <si>
    <t>La Mesa</t>
  </si>
  <si>
    <t>StarTAC ST7762</t>
  </si>
  <si>
    <t>Katherine W Epstein</t>
  </si>
  <si>
    <t>Hewlett-Packard Deskjet 3820 Color Inkjet Printer</t>
  </si>
  <si>
    <t>Jackson</t>
  </si>
  <si>
    <t>Vanessa Day</t>
  </si>
  <si>
    <t>Collierville</t>
  </si>
  <si>
    <t>DAX Solid Wood Frames</t>
  </si>
  <si>
    <t>Frank Hess</t>
  </si>
  <si>
    <t>Waldorf</t>
  </si>
  <si>
    <t>Tyvek ® Top-Opening Peel &amp; Seel ® Envelopes, Gray</t>
  </si>
  <si>
    <t>DAX Value U-Channel Document Frames, Easel Back</t>
  </si>
  <si>
    <t>Staples Metal Binder Clips</t>
  </si>
  <si>
    <t>Sidney Bowling</t>
  </si>
  <si>
    <t>Omaha</t>
  </si>
  <si>
    <t>Timothy Ross</t>
  </si>
  <si>
    <t>Kim McCarthy</t>
  </si>
  <si>
    <t>Fiskars® Softgrip Scissors</t>
  </si>
  <si>
    <t>Oak Park</t>
  </si>
  <si>
    <t>Jacob Murray</t>
  </si>
  <si>
    <t>DAX Cubicle Frames - 8x10</t>
  </si>
  <si>
    <t>Medina</t>
  </si>
  <si>
    <t>Carrie High</t>
  </si>
  <si>
    <t>Troy Moon</t>
  </si>
  <si>
    <t>Oakland</t>
  </si>
  <si>
    <t>Regina Langley</t>
  </si>
  <si>
    <t>Hunt BOSTON® Vista® Battery-Operated Pencil Sharpener, Black</t>
  </si>
  <si>
    <t>Martinez</t>
  </si>
  <si>
    <t>Melvin Duke</t>
  </si>
  <si>
    <t>Frankfort</t>
  </si>
  <si>
    <t>Judy Barrett</t>
  </si>
  <si>
    <t>14-7/8 x 11 Blue Bar Computer Printout Paper</t>
  </si>
  <si>
    <t>Kerry Jernigan</t>
  </si>
  <si>
    <t>Steel Personal Filing/Posting Tote</t>
  </si>
  <si>
    <t>Rancho Cucamonga</t>
  </si>
  <si>
    <t>Tracy Livingston</t>
  </si>
  <si>
    <t>Redding</t>
  </si>
  <si>
    <t>Fellowes Twister Kit, Gray/Clear, 3/pkg</t>
  </si>
  <si>
    <t>Helen Lyons</t>
  </si>
  <si>
    <t>Epson C82 Color Inkjet Printer</t>
  </si>
  <si>
    <t>Prescott Valley</t>
  </si>
  <si>
    <t>Sean Pugh</t>
  </si>
  <si>
    <t>Sunrise</t>
  </si>
  <si>
    <t>Christina Matthews</t>
  </si>
  <si>
    <t>Advantus Panel Wall Certificate Holder - 8.5x11</t>
  </si>
  <si>
    <t>Sherri Kramer</t>
  </si>
  <si>
    <t>Imation Neon 80 Minute CD-R Spindle, 50/Pack</t>
  </si>
  <si>
    <t>Janice Boswell</t>
  </si>
  <si>
    <t>Port Orange</t>
  </si>
  <si>
    <t>Sally Liu</t>
  </si>
  <si>
    <t>Microsoft Multimedia Keyboard</t>
  </si>
  <si>
    <t>New Berlin</t>
  </si>
  <si>
    <t>Alvin Hoover</t>
  </si>
  <si>
    <t>State College</t>
  </si>
  <si>
    <t>Albert Maxwell</t>
  </si>
  <si>
    <t>New Milford</t>
  </si>
  <si>
    <t>Faye Dyer</t>
  </si>
  <si>
    <t>Bradley Pollock</t>
  </si>
  <si>
    <t>Acco Keyboard-In-A-Box®</t>
  </si>
  <si>
    <t>Goffstown</t>
  </si>
  <si>
    <t>Zachary Maynard</t>
  </si>
  <si>
    <t>Blacksburg</t>
  </si>
  <si>
    <t>Xerox 1922</t>
  </si>
  <si>
    <t>Thelma Murray</t>
  </si>
  <si>
    <t>Grove City</t>
  </si>
  <si>
    <t>Tripp Lite Isotel 8 Ultra 8 Outlet Metal Surge</t>
  </si>
  <si>
    <t>GBC Clear Cover, 8-1/2 x 11, unpunched, 25 covers per pack</t>
  </si>
  <si>
    <t>Ian Hall</t>
  </si>
  <si>
    <t>Dearborn</t>
  </si>
  <si>
    <t>3M Polarizing Light Filter Sleeves</t>
  </si>
  <si>
    <t>Jon Kendall</t>
  </si>
  <si>
    <t>Ann Katz</t>
  </si>
  <si>
    <t>Wilson Jones Suede Grain Vinyl Binders</t>
  </si>
  <si>
    <t>Mildred Chase</t>
  </si>
  <si>
    <t>Woodland</t>
  </si>
  <si>
    <t>Jackie Burke</t>
  </si>
  <si>
    <t>Carol City</t>
  </si>
  <si>
    <t>Dana Teague</t>
  </si>
  <si>
    <t>Oscar Bowers</t>
  </si>
  <si>
    <t>Space Solutions™ Industrial Galvanized Steel Shelving.</t>
  </si>
  <si>
    <t>Smead Adjustable Mobile File Trolley with Lockable Top</t>
  </si>
  <si>
    <t>Sylvia Bush</t>
  </si>
  <si>
    <t>3M Office Air Cleaner</t>
  </si>
  <si>
    <t>Batavia</t>
  </si>
  <si>
    <t>James Dickinson Ball</t>
  </si>
  <si>
    <t>Carol Saunders</t>
  </si>
  <si>
    <t>Bowling Green</t>
  </si>
  <si>
    <t>Office Star - Contemporary Task Swivel chair with 2-way adjustable arms, Plum</t>
  </si>
  <si>
    <t>Hammermill Color Copier Paper (28Lb. and 96 Bright)</t>
  </si>
  <si>
    <t>Xerox 1937</t>
  </si>
  <si>
    <t>Sean Burton</t>
  </si>
  <si>
    <t>Saginaw</t>
  </si>
  <si>
    <t>Kate Peck</t>
  </si>
  <si>
    <t>Gould Plastics 9-Pocket Panel Bin, 18-3/8w x 5-1/4d x 20-1/2h, Black</t>
  </si>
  <si>
    <t>Bettendorf</t>
  </si>
  <si>
    <t>Bush Westfield Collection Bookcases, Dark Cherry Finish, Fully Assembled</t>
  </si>
  <si>
    <t>Patsy Shea</t>
  </si>
  <si>
    <t>Gyration Ultra Professional Cordless Optical Suite</t>
  </si>
  <si>
    <t>Tracy Dyer</t>
  </si>
  <si>
    <t>Ultra Commercial Grade Dual Valve Door Closer</t>
  </si>
  <si>
    <t>Mount Pleasant</t>
  </si>
  <si>
    <t>Gyration RF Keyboard</t>
  </si>
  <si>
    <t>Dwight Albright Huffman</t>
  </si>
  <si>
    <t>Herbert Williamson</t>
  </si>
  <si>
    <t>San Gabriel</t>
  </si>
  <si>
    <t>Stacy Chang</t>
  </si>
  <si>
    <t>Catonsville</t>
  </si>
  <si>
    <t>Eldon Cleatmat Plus™ Chair Mats for High Pile Carpets</t>
  </si>
  <si>
    <t>William Crawford</t>
  </si>
  <si>
    <t>OIC Colored Binder Clips, Assorted Sizes</t>
  </si>
  <si>
    <t>Garland</t>
  </si>
  <si>
    <t>Edna Freeman</t>
  </si>
  <si>
    <t>Xerox 1905</t>
  </si>
  <si>
    <t>Virginia Beach</t>
  </si>
  <si>
    <t>Eva Decker</t>
  </si>
  <si>
    <t>GBC ProClick™ 150 Presentation Binding System</t>
  </si>
  <si>
    <t>La Grange</t>
  </si>
  <si>
    <t>Keith Hobbs</t>
  </si>
  <si>
    <t>Colored Envelopes</t>
  </si>
  <si>
    <t>Jack Hatcher</t>
  </si>
  <si>
    <t>Hon Pagoda™ Stacking Chairs</t>
  </si>
  <si>
    <t>StarTAC 6500</t>
  </si>
  <si>
    <t>Debbie Hsu</t>
  </si>
  <si>
    <t>Randall Montgomery</t>
  </si>
  <si>
    <t>Tonawanda</t>
  </si>
  <si>
    <t>Gilbert Scarborough</t>
  </si>
  <si>
    <t>Xerox Blank Computer Paper</t>
  </si>
  <si>
    <t>Fountain</t>
  </si>
  <si>
    <t>Amy Ellis Holder</t>
  </si>
  <si>
    <t>Grand Junction</t>
  </si>
  <si>
    <t>Lynn Payne</t>
  </si>
  <si>
    <t>Rose Hill</t>
  </si>
  <si>
    <t>William Woodard</t>
  </si>
  <si>
    <t>Kendall</t>
  </si>
  <si>
    <t>Peter Adams</t>
  </si>
  <si>
    <t>Kathy Hinton</t>
  </si>
  <si>
    <t>Jill Clements</t>
  </si>
  <si>
    <t>Xerox 1951</t>
  </si>
  <si>
    <t>Boston KS Multi-Size Manual Pencil Sharpener</t>
  </si>
  <si>
    <t>Martha Bowers</t>
  </si>
  <si>
    <t>Whitehall</t>
  </si>
  <si>
    <t>Scott McKenna</t>
  </si>
  <si>
    <t>Steubenville</t>
  </si>
  <si>
    <t>Staples Vinyl Coated Paper Clips</t>
  </si>
  <si>
    <t>Phyllis Hull</t>
  </si>
  <si>
    <t>Xerox 1880</t>
  </si>
  <si>
    <t>Laurie Case Daniel</t>
  </si>
  <si>
    <t>Stoneham</t>
  </si>
  <si>
    <t>Emily Sims</t>
  </si>
  <si>
    <t>Newell® 3-Hole Punched Plastic Slotted Magazine Holders for Binders</t>
  </si>
  <si>
    <t>Nashville</t>
  </si>
  <si>
    <t>Wirebound Message Book, 4 per Page</t>
  </si>
  <si>
    <t>Edward McKenzie</t>
  </si>
  <si>
    <t>Decoflex Hanging Personal Folder File, Blue</t>
  </si>
  <si>
    <t>Evan Adkins</t>
  </si>
  <si>
    <t>Waterbury</t>
  </si>
  <si>
    <t>Arnold Johnson</t>
  </si>
  <si>
    <t>Acco Perma® 2700 Stacking Storage Drawers</t>
  </si>
  <si>
    <t>Rachel Bates</t>
  </si>
  <si>
    <t>*Staples* Packaging Labels</t>
  </si>
  <si>
    <t>Vickie Coates</t>
  </si>
  <si>
    <t>Cedar Park</t>
  </si>
  <si>
    <t>Global Ergonomic Managers Chair</t>
  </si>
  <si>
    <t>Xerox 1954</t>
  </si>
  <si>
    <t>Kelly O'Connor</t>
  </si>
  <si>
    <t>Santa Rosa</t>
  </si>
  <si>
    <t>Sherri McIntosh</t>
  </si>
  <si>
    <t>Avery 507</t>
  </si>
  <si>
    <t>West Jordan</t>
  </si>
  <si>
    <t>Ryan Foster</t>
  </si>
  <si>
    <t>Letter Slitter</t>
  </si>
  <si>
    <t>Diane Barr</t>
  </si>
  <si>
    <t>DIXON Ticonderoga® Erasable Checking Pencils</t>
  </si>
  <si>
    <t>Coos Bay</t>
  </si>
  <si>
    <t>Southworth 25% Cotton Linen-Finish Paper &amp; Envelopes</t>
  </si>
  <si>
    <t>Leon Peele</t>
  </si>
  <si>
    <t>GBC Laser Imprintable Binding System Covers, Desert Sand</t>
  </si>
  <si>
    <t>Dix Hills</t>
  </si>
  <si>
    <t>Carolyn Bowling</t>
  </si>
  <si>
    <t>Imation DVD-RAM discs</t>
  </si>
  <si>
    <t>Carolyn Greer</t>
  </si>
  <si>
    <t>Sunnyvale</t>
  </si>
  <si>
    <t>Yvonne Stephens</t>
  </si>
  <si>
    <t>Davis</t>
  </si>
  <si>
    <t>Global Troy™ Executive Leather Low-Back Tilter</t>
  </si>
  <si>
    <t>DAX Copper Panel Document Frame, 5 x 7 Size</t>
  </si>
  <si>
    <t>Deflect-O® Glasstique™ Clear Desk Accessories</t>
  </si>
  <si>
    <t>Rosemary O'Brien</t>
  </si>
  <si>
    <t>June Herbert</t>
  </si>
  <si>
    <t>Melanie Burgess</t>
  </si>
  <si>
    <t>Webster Groves</t>
  </si>
  <si>
    <t>Maria Block</t>
  </si>
  <si>
    <t>Lisa Branch</t>
  </si>
  <si>
    <t>Grand Rapids</t>
  </si>
  <si>
    <t>Geoffrey Saunders</t>
  </si>
  <si>
    <t>Sue Drake</t>
  </si>
  <si>
    <t>Searcy</t>
  </si>
  <si>
    <t>Stuart Holloway</t>
  </si>
  <si>
    <t>Vancouver</t>
  </si>
  <si>
    <t>Alicia Maynard</t>
  </si>
  <si>
    <t>Kyle Kaufman</t>
  </si>
  <si>
    <t>Euclid</t>
  </si>
  <si>
    <t>Tammy Raynor</t>
  </si>
  <si>
    <t>Honeywell Enviracaire Portable HEPA Air Cleaner for 17' x 22' Room</t>
  </si>
  <si>
    <t>Xerox 1941</t>
  </si>
  <si>
    <t>Annie Livingston</t>
  </si>
  <si>
    <t>Rochester</t>
  </si>
  <si>
    <t>Xerox 1917</t>
  </si>
  <si>
    <t>Hannah Carver</t>
  </si>
  <si>
    <t>Grand Forks</t>
  </si>
  <si>
    <t>Jeffrey Cheng</t>
  </si>
  <si>
    <t>Wauwatosa</t>
  </si>
  <si>
    <t>Eldon Spacemaker® Box, Quick-Snap Lid, Clear</t>
  </si>
  <si>
    <t>Billy Perry Browning</t>
  </si>
  <si>
    <t>Ken Cash</t>
  </si>
  <si>
    <t>Pawtucket</t>
  </si>
  <si>
    <t>Elsie Hwang</t>
  </si>
  <si>
    <t>Patrick Lowry</t>
  </si>
  <si>
    <t>Edgewood</t>
  </si>
  <si>
    <t>Accessory25</t>
  </si>
  <si>
    <t>Sarah N Becker</t>
  </si>
  <si>
    <t>Home/Office Personal File Carts</t>
  </si>
  <si>
    <t>Whittier</t>
  </si>
  <si>
    <t>Marianne Goldstein</t>
  </si>
  <si>
    <t>New Smyrna Beach</t>
  </si>
  <si>
    <t>Jeffrey Lloyd</t>
  </si>
  <si>
    <t>Bevis Steel Folding Chairs</t>
  </si>
  <si>
    <t>Brett Schultz</t>
  </si>
  <si>
    <t>Park Ridge™ Embossed Executive Business Envelopes</t>
  </si>
  <si>
    <t>Acco PRESSTEX® Data Binder with Storage Hooks, Dark Blue, 14 7/8" X 11"</t>
  </si>
  <si>
    <t>1/4 Fold Party Design Invitations &amp; White Envelopes, 24 8-1/2" X 11" Cards, 25 Env./Pack</t>
  </si>
  <si>
    <t>Brooke Shepherd</t>
  </si>
  <si>
    <t>Santa Cruz</t>
  </si>
  <si>
    <t>KH 688</t>
  </si>
  <si>
    <t>Bagged Rubber Bands</t>
  </si>
  <si>
    <t>Karen Hendricks</t>
  </si>
  <si>
    <t>Branford</t>
  </si>
  <si>
    <t>Jacob Lanier</t>
  </si>
  <si>
    <t>2300 Heavy-Duty Transfer File Systems by Perma</t>
  </si>
  <si>
    <t>Danbury</t>
  </si>
  <si>
    <t>Arthur Brady</t>
  </si>
  <si>
    <t>Juan Gold</t>
  </si>
  <si>
    <t>Pensacola</t>
  </si>
  <si>
    <t>Vivian Clarke</t>
  </si>
  <si>
    <t>Vivian Goldstein</t>
  </si>
  <si>
    <t>Brandon</t>
  </si>
  <si>
    <t>Max Hurley</t>
  </si>
  <si>
    <t>North Las Vegas</t>
  </si>
  <si>
    <t>Sanford Pocket Accent® Highlighters</t>
  </si>
  <si>
    <t>Tina Monroe</t>
  </si>
  <si>
    <t>Fellowes Binding Cases</t>
  </si>
  <si>
    <t>Sandy Springs</t>
  </si>
  <si>
    <t>Erika Clapp</t>
  </si>
  <si>
    <t>Chattanooga</t>
  </si>
  <si>
    <t>Christina Hanna</t>
  </si>
  <si>
    <t>Eldon Pizzaz™ Desk Accessories</t>
  </si>
  <si>
    <t>Danielle Watts</t>
  </si>
  <si>
    <t>Sidney Brewer</t>
  </si>
  <si>
    <t>Immokalee</t>
  </si>
  <si>
    <t>David Powell</t>
  </si>
  <si>
    <t>Cranford</t>
  </si>
  <si>
    <t>Renee McKenzie</t>
  </si>
  <si>
    <t>Upper Arlington</t>
  </si>
  <si>
    <t>Avery 506</t>
  </si>
  <si>
    <t>Calvin Parsons Walter</t>
  </si>
  <si>
    <t>San Juan</t>
  </si>
  <si>
    <t>Kent Gill</t>
  </si>
  <si>
    <t>Opelika</t>
  </si>
  <si>
    <t>Balt Solid Wood Rectangular Table</t>
  </si>
  <si>
    <t>Rick Houston</t>
  </si>
  <si>
    <t>Atascadero</t>
  </si>
  <si>
    <t>Guy Gallagher</t>
  </si>
  <si>
    <t>Carmen Elmore</t>
  </si>
  <si>
    <t>Executive Impressions 13" Chairman Wall Clock</t>
  </si>
  <si>
    <t>Recycled Eldon Regeneration Jumbo File</t>
  </si>
  <si>
    <t>Esther Whitaker</t>
  </si>
  <si>
    <t>Staples Colored Interoffice Envelopes</t>
  </si>
  <si>
    <t>Electrix Fluorescent Magnifier Lamps &amp; Weighted Base</t>
  </si>
  <si>
    <t>Eddie House Mueller</t>
  </si>
  <si>
    <t>Max McKenna</t>
  </si>
  <si>
    <t>Manhattan</t>
  </si>
  <si>
    <t>Roberta Daniel</t>
  </si>
  <si>
    <t>Alamogordo</t>
  </si>
  <si>
    <t>Curtis O'Connell</t>
  </si>
  <si>
    <t>Medford</t>
  </si>
  <si>
    <t>Jacqueline Noble</t>
  </si>
  <si>
    <t>Avery Hi-Liter GlideStik Fluorescent Highlighter, Yellow Ink</t>
  </si>
  <si>
    <t>Rosemary English</t>
  </si>
  <si>
    <t>Portland</t>
  </si>
  <si>
    <t>Ryan Herman</t>
  </si>
  <si>
    <t>Joanne Chu</t>
  </si>
  <si>
    <t>Baldwin</t>
  </si>
  <si>
    <t>Marlene Gray</t>
  </si>
  <si>
    <t>Avery 496</t>
  </si>
  <si>
    <t>Clifton</t>
  </si>
  <si>
    <t>Lloyd Cannon</t>
  </si>
  <si>
    <t>Carolyn Proctor</t>
  </si>
  <si>
    <t>Jackie McCullough</t>
  </si>
  <si>
    <t>Micro Innovations 104 Keyboard</t>
  </si>
  <si>
    <t>Jacksonville</t>
  </si>
  <si>
    <t>Richard Tan</t>
  </si>
  <si>
    <t>Eagle</t>
  </si>
  <si>
    <t>2190</t>
  </si>
  <si>
    <t>Ralph Woods Scott</t>
  </si>
  <si>
    <t>Avery Binding System Hidden Tab™ Executive Style Index Sets</t>
  </si>
  <si>
    <t>Creve Coeur</t>
  </si>
  <si>
    <t>Debra Block</t>
  </si>
  <si>
    <t>Belkin 325VA UPS Surge Protector, 6'</t>
  </si>
  <si>
    <t>Harlingen</t>
  </si>
  <si>
    <t>Marlene Harrison</t>
  </si>
  <si>
    <t>Westinghouse Floor Lamp with Metal Mesh Shade, Black</t>
  </si>
  <si>
    <t>Mildred Briggs</t>
  </si>
  <si>
    <t>GBC Therma-A-Bind 250T Electric Binding System</t>
  </si>
  <si>
    <t>Kimberly McCarthy</t>
  </si>
  <si>
    <t>Sidney Larson</t>
  </si>
  <si>
    <t>South Portland</t>
  </si>
  <si>
    <t>Marianne Weiner Ennis</t>
  </si>
  <si>
    <t>Littleton</t>
  </si>
  <si>
    <t>Betsy Gibson</t>
  </si>
  <si>
    <t>Wesley Cho</t>
  </si>
  <si>
    <t>Richmond</t>
  </si>
  <si>
    <t>Lynda Rosenthal</t>
  </si>
  <si>
    <t>Eldon Jumbo ProFile™ Portable File Boxes Graphite/Black</t>
  </si>
  <si>
    <t>Vickie Gonzalez</t>
  </si>
  <si>
    <t>Broomfield</t>
  </si>
  <si>
    <t>Renee Huang</t>
  </si>
  <si>
    <t>Coral Springs</t>
  </si>
  <si>
    <t>Linda Blake</t>
  </si>
  <si>
    <t>Hilliard</t>
  </si>
  <si>
    <t>Leonard Strauss</t>
  </si>
  <si>
    <t>Wirebound Voice Message Log Book</t>
  </si>
  <si>
    <t>Earl Donnelly</t>
  </si>
  <si>
    <t>Slidell</t>
  </si>
  <si>
    <t>Constance Robertson</t>
  </si>
  <si>
    <t>Tampa</t>
  </si>
  <si>
    <t>Lynne Reid</t>
  </si>
  <si>
    <t>Strongsville</t>
  </si>
  <si>
    <t>Joanne Spivey</t>
  </si>
  <si>
    <t>Brown Kraft Recycled Envelopes</t>
  </si>
  <si>
    <t>Independence</t>
  </si>
  <si>
    <t>Frank Cross</t>
  </si>
  <si>
    <t>Todd D Norris</t>
  </si>
  <si>
    <t>Newport News</t>
  </si>
  <si>
    <t>Sean Herbert</t>
  </si>
  <si>
    <t>Racine</t>
  </si>
  <si>
    <t>Lindsay Webb</t>
  </si>
  <si>
    <t>Xerox 1928</t>
  </si>
  <si>
    <t>Sheboygan</t>
  </si>
  <si>
    <t>George Terry</t>
  </si>
  <si>
    <t>Los Gatos</t>
  </si>
  <si>
    <t>Micro Innovations Micro Digital Wireless Keyboard and Mouse, Gray</t>
  </si>
  <si>
    <t>Colleen Fletcher</t>
  </si>
  <si>
    <t>Acme Hot Forged Carbon Steel Scissors with Nickel-Plated Handles, 3 7/8" Cut, 8"L</t>
  </si>
  <si>
    <t>Saint Charles</t>
  </si>
  <si>
    <t>Stuart Sharma</t>
  </si>
  <si>
    <t>Pam Gilbert</t>
  </si>
  <si>
    <t>Xerox 193</t>
  </si>
  <si>
    <t>Round Rock</t>
  </si>
  <si>
    <t>Dan Lamm</t>
  </si>
  <si>
    <t>Sony MFD2HD Formatted Diskettes, 10/Pack</t>
  </si>
  <si>
    <t>Asheboro</t>
  </si>
  <si>
    <t>Theodore Moran</t>
  </si>
  <si>
    <t>Ray Oakley</t>
  </si>
  <si>
    <t>West Lafayette</t>
  </si>
  <si>
    <t>Lloyd Spencer</t>
  </si>
  <si>
    <t>West Scarborough</t>
  </si>
  <si>
    <t>Chad Henson</t>
  </si>
  <si>
    <t>Huntington</t>
  </si>
  <si>
    <t>Newell 329</t>
  </si>
  <si>
    <t>Jerry Ennis</t>
  </si>
  <si>
    <t>Sacramento</t>
  </si>
  <si>
    <t>Hon Rectangular Conference Tables</t>
  </si>
  <si>
    <t>#10 White Business Envelopes,4 1/8 x 9 1/2</t>
  </si>
  <si>
    <t>Shirley Riley</t>
  </si>
  <si>
    <t>GBC DocuBind TL200 Manual Binding Machine</t>
  </si>
  <si>
    <t>Gwendolyn F Tyson</t>
  </si>
  <si>
    <t>Newell 321</t>
  </si>
  <si>
    <t>Newell 351</t>
  </si>
  <si>
    <t>Wirebound Message Books, Four 2 3/4" x 5" Forms per Page, 600 Sets per Book</t>
  </si>
  <si>
    <t>Imation 3.5" DS/HD IBM Formatted Diskettes, 10/Pack</t>
  </si>
  <si>
    <t>Evan K Bullard</t>
  </si>
  <si>
    <t>Multimedia Mailers</t>
  </si>
  <si>
    <t>Naugatuck</t>
  </si>
  <si>
    <t>Marlene Abrams</t>
  </si>
  <si>
    <t>Kathryn Patrick</t>
  </si>
  <si>
    <t>William Larson</t>
  </si>
  <si>
    <t>Sharon Marcus</t>
  </si>
  <si>
    <t>Longview</t>
  </si>
  <si>
    <t>Steve McKee</t>
  </si>
  <si>
    <t>Carla Hauser</t>
  </si>
  <si>
    <t>Bonnie Chambers</t>
  </si>
  <si>
    <t>Glendale</t>
  </si>
  <si>
    <t>Xerox 1898</t>
  </si>
  <si>
    <t>Alice Coley</t>
  </si>
  <si>
    <t>GBC Recycled Regency Composition Covers</t>
  </si>
  <si>
    <t>Urbana</t>
  </si>
  <si>
    <t>Ruth Lamm</t>
  </si>
  <si>
    <t>Accessory29</t>
  </si>
  <si>
    <t>Vernon Hills</t>
  </si>
  <si>
    <t>Pam Bennett</t>
  </si>
  <si>
    <t>Boston 16701 Slimline Battery Pencil Sharpener</t>
  </si>
  <si>
    <t>Carbondale</t>
  </si>
  <si>
    <t>Glen Newman</t>
  </si>
  <si>
    <t>Wilkinsburg</t>
  </si>
  <si>
    <t>Vinyl Sectional Post Binders</t>
  </si>
  <si>
    <t>Laurie Hanna</t>
  </si>
  <si>
    <t>DAX Natural Wood-Tone Poster Frame</t>
  </si>
  <si>
    <t>Helena</t>
  </si>
  <si>
    <t>Tony Wilkins Winters</t>
  </si>
  <si>
    <t>Belkin ErgoBoard™ Keyboard</t>
  </si>
  <si>
    <t>Ross Frederick</t>
  </si>
  <si>
    <t>Xerox 214</t>
  </si>
  <si>
    <t>San Antonio</t>
  </si>
  <si>
    <t>Carrie Duke</t>
  </si>
  <si>
    <t>*Staples* vLetter Openers, 2/Pack</t>
  </si>
  <si>
    <t>Dale Gillespie</t>
  </si>
  <si>
    <t>Petaluma</t>
  </si>
  <si>
    <t>Jerome Burch</t>
  </si>
  <si>
    <t>Yuba City</t>
  </si>
  <si>
    <t>Hazel Jones</t>
  </si>
  <si>
    <t>Wirebound Message Forms, Four 2 3/4 x 5 Forms per Page, Pink Paper</t>
  </si>
  <si>
    <t>Stockton</t>
  </si>
  <si>
    <t>Jennifer Zimmerman</t>
  </si>
  <si>
    <t>Eldon Simplefile® Box Office®</t>
  </si>
  <si>
    <t>Jonesboro</t>
  </si>
  <si>
    <t>Tommy Lutz</t>
  </si>
  <si>
    <t>Universal Premium White Copier/Laser Paper (20Lb. and 87 Bright)</t>
  </si>
  <si>
    <t>Kelly Collins</t>
  </si>
  <si>
    <t>Eastpointe</t>
  </si>
  <si>
    <t>Lynne Wilcox</t>
  </si>
  <si>
    <t>Prismacolor Color Pencil Set</t>
  </si>
  <si>
    <t>Victoria Baker Hoover</t>
  </si>
  <si>
    <t>REDIFORM Incoming/Outgoing Call Register, 11" X 8 1/2", 100 Messages</t>
  </si>
  <si>
    <t>Terrytown</t>
  </si>
  <si>
    <t>Sharp EL501VB Scientific Calculator, Battery Operated, 10-Digit Display, Hard Case</t>
  </si>
  <si>
    <t>Penny Tuttle</t>
  </si>
  <si>
    <t>Ibico EB-19 Dual Function Manual Binding System</t>
  </si>
  <si>
    <t>Amy Hall</t>
  </si>
  <si>
    <t>Lorain</t>
  </si>
  <si>
    <t>Jerry Webster</t>
  </si>
  <si>
    <t>Anita Kang</t>
  </si>
  <si>
    <t>Acco Smartsocket™ Table Surge Protector, 6 Color-Coded Adapter Outlets</t>
  </si>
  <si>
    <t>Mundelein</t>
  </si>
  <si>
    <t>Wayne English</t>
  </si>
  <si>
    <t>GBC Recycled Grain Textured Covers</t>
  </si>
  <si>
    <t>New Iberia</t>
  </si>
  <si>
    <t>Xerox 1881</t>
  </si>
  <si>
    <t>Panasonic KP-350BK Electric Pencil Sharpener with Auto Stop</t>
  </si>
  <si>
    <t>Jon Ward</t>
  </si>
  <si>
    <t>Revere Boxed Rubber Bands by Revere</t>
  </si>
  <si>
    <t>Ted Durham</t>
  </si>
  <si>
    <t>Zoom V.92 V.44 PCI Internal Controllerless FaxModem</t>
  </si>
  <si>
    <t>North Port</t>
  </si>
  <si>
    <t>Molly Vincent</t>
  </si>
  <si>
    <t>Ronnie Creech</t>
  </si>
  <si>
    <t>Eileen Cheek</t>
  </si>
  <si>
    <t>Norwood</t>
  </si>
  <si>
    <t>Tennsco Lockers, Sand</t>
  </si>
  <si>
    <t>Troy Cassidy</t>
  </si>
  <si>
    <t>Lindsay Tate</t>
  </si>
  <si>
    <t>Midwest City</t>
  </si>
  <si>
    <t>Becky Puckett</t>
  </si>
  <si>
    <t>Eureka</t>
  </si>
  <si>
    <t>O'Sullivan 3-Shelf Heavy-Duty Bookcases</t>
  </si>
  <si>
    <t>Arlene Weeks</t>
  </si>
  <si>
    <t>Union City</t>
  </si>
  <si>
    <t>Carole Rosen</t>
  </si>
  <si>
    <t>Boise</t>
  </si>
  <si>
    <t>Joseph Grossman</t>
  </si>
  <si>
    <t>Maxine Collier Grady</t>
  </si>
  <si>
    <t>Dwight Bishop</t>
  </si>
  <si>
    <t>Robert Brantley</t>
  </si>
  <si>
    <t>Dearborn Heights</t>
  </si>
  <si>
    <t>Wesley Field</t>
  </si>
  <si>
    <t>Xerox 1979</t>
  </si>
  <si>
    <t>Westland</t>
  </si>
  <si>
    <t>Brenda Jain</t>
  </si>
  <si>
    <t>Hon Non-Folding Utility Tables</t>
  </si>
  <si>
    <t>Sharon</t>
  </si>
  <si>
    <t>Storex Dura Pro™ Binders</t>
  </si>
  <si>
    <t>Xerox 231</t>
  </si>
  <si>
    <t>Dolores Abrams</t>
  </si>
  <si>
    <t>5180</t>
  </si>
  <si>
    <t>Lucille Rankin</t>
  </si>
  <si>
    <t>Vickie Andrews</t>
  </si>
  <si>
    <t>Belleville</t>
  </si>
  <si>
    <t>Marvin Hunt</t>
  </si>
  <si>
    <t>Abilene</t>
  </si>
  <si>
    <t>June Frank Hammond</t>
  </si>
  <si>
    <t>South Vineland</t>
  </si>
  <si>
    <t>Acme® Forged Steel Scissors with Black Enamel Handles</t>
  </si>
  <si>
    <t>Joanna Keith</t>
  </si>
  <si>
    <t>Lake Jackson</t>
  </si>
  <si>
    <t>Catherine Mullins</t>
  </si>
  <si>
    <t>Avery Hi-Liter® Smear-Safe Highlighters</t>
  </si>
  <si>
    <t>Walla Walla</t>
  </si>
  <si>
    <t>Marlene Davidson</t>
  </si>
  <si>
    <t>Avery Legal 4-Ring Binder</t>
  </si>
  <si>
    <t>Benjamin Strauss</t>
  </si>
  <si>
    <t>El Paso</t>
  </si>
  <si>
    <t>Jim Rodgers</t>
  </si>
  <si>
    <t>Hewlett Packard 6S Scientific Calculator</t>
  </si>
  <si>
    <t>Missoula</t>
  </si>
  <si>
    <t>Advantus Plastic Paper Clips</t>
  </si>
  <si>
    <t>Lifetime Advantage™ Folding Chairs, 4/Carton</t>
  </si>
  <si>
    <t>Janice Frye</t>
  </si>
  <si>
    <t>Las Cruces</t>
  </si>
  <si>
    <t>Cardinal Holdit Business Card Pockets</t>
  </si>
  <si>
    <t>Alex Harrell</t>
  </si>
  <si>
    <t>Hayes Optima 56K V.90 Internal Voice Modem</t>
  </si>
  <si>
    <t>Fred Barber</t>
  </si>
  <si>
    <t>Oak Creek</t>
  </si>
  <si>
    <t>Lester Woodward Maynard</t>
  </si>
  <si>
    <t>Boston 1799 Powerhouse™ Electric Pencil Sharpener</t>
  </si>
  <si>
    <t>Lindenhurst</t>
  </si>
  <si>
    <t>Derek Sweeney</t>
  </si>
  <si>
    <t>Gretchen Orr</t>
  </si>
  <si>
    <t>Lake Charles</t>
  </si>
  <si>
    <t>Jesse Williamson</t>
  </si>
  <si>
    <t>Spanish Fork</t>
  </si>
  <si>
    <t>Nicole Goldstein</t>
  </si>
  <si>
    <t>Wilson Jones Elliptical Ring 3 1/2" Capacity Binders, 800 sheets</t>
  </si>
  <si>
    <t>Annapolis</t>
  </si>
  <si>
    <t>Anne Armstrong</t>
  </si>
  <si>
    <t>Tenex Personal Self-Stacking Standard File Box, Black/Gray</t>
  </si>
  <si>
    <t>Millville</t>
  </si>
  <si>
    <t>Bruce Stark</t>
  </si>
  <si>
    <t>Dayton</t>
  </si>
  <si>
    <t>Soundgear Copyboard Conference Phone, Optional Battery</t>
  </si>
  <si>
    <t>Albert Tyson</t>
  </si>
  <si>
    <t>Olive Branch</t>
  </si>
  <si>
    <t>Tonya Miller</t>
  </si>
  <si>
    <t>Newell 31</t>
  </si>
  <si>
    <t>Janesville</t>
  </si>
  <si>
    <t>Barbara McNamara</t>
  </si>
  <si>
    <t>Kingman</t>
  </si>
  <si>
    <t>Malcolm Robertson</t>
  </si>
  <si>
    <t>Amarillo</t>
  </si>
  <si>
    <t>Patrick Adcock</t>
  </si>
  <si>
    <t>GBC Prepunched Paper, 19-Hole, for Binding Systems, 24-lb</t>
  </si>
  <si>
    <t>Schererville</t>
  </si>
  <si>
    <t>Mike Howard</t>
  </si>
  <si>
    <t>Kensington 6 Outlet SmartSocket Surge Protector</t>
  </si>
  <si>
    <t>Bevis Boat-Shaped Conference Table</t>
  </si>
  <si>
    <t>Dana Boyle</t>
  </si>
  <si>
    <t>Veronica Peck</t>
  </si>
  <si>
    <t>South Lake Tahoe</t>
  </si>
  <si>
    <t>Global Airflow Leather Mesh Back Chair, Black</t>
  </si>
  <si>
    <t>Thelma Abrams</t>
  </si>
  <si>
    <t>Priscilla Frank</t>
  </si>
  <si>
    <t>Self-Adhesive Removable Labels</t>
  </si>
  <si>
    <t>Gorham</t>
  </si>
  <si>
    <t>Mary Norman</t>
  </si>
  <si>
    <t>Granite Bay</t>
  </si>
  <si>
    <t>Sheryl Marsh</t>
  </si>
  <si>
    <t>Polycom VoiceStation 100</t>
  </si>
  <si>
    <t>Phone 918</t>
  </si>
  <si>
    <t>Tommy Ellis Ritchie</t>
  </si>
  <si>
    <t>Westlake</t>
  </si>
  <si>
    <t>Gordon Boswell</t>
  </si>
  <si>
    <t>Cloverleaf</t>
  </si>
  <si>
    <t>Brenda Ross</t>
  </si>
  <si>
    <t>#10-4 1/8" x 9 1/2" Premium Diagonal Seam Envelopes</t>
  </si>
  <si>
    <t>Keith R Atkinson</t>
  </si>
  <si>
    <t>Surprise</t>
  </si>
  <si>
    <t>Xerox 1883</t>
  </si>
  <si>
    <t>Jacob McNeill</t>
  </si>
  <si>
    <t>Imation Primaris 3.5" 2HD Unformatted Diskettes, 10/Pack</t>
  </si>
  <si>
    <t>Oceanside</t>
  </si>
  <si>
    <t>Tyvek ® Top-Opening Peel &amp; Seel Envelopes, Plain White</t>
  </si>
  <si>
    <t>Brandon Beach</t>
  </si>
  <si>
    <t>Kirkwood</t>
  </si>
  <si>
    <t>Leslie Woodard</t>
  </si>
  <si>
    <t>Avery Heavy-Duty EZD ™ Binder With Locking Rings</t>
  </si>
  <si>
    <t>Charleston</t>
  </si>
  <si>
    <t>Leah Pollock</t>
  </si>
  <si>
    <t>270c</t>
  </si>
  <si>
    <t>Leslie Rowland</t>
  </si>
  <si>
    <t>Los Banos</t>
  </si>
  <si>
    <t>Sam Oh</t>
  </si>
  <si>
    <t>Roberta Mullins Peters</t>
  </si>
  <si>
    <t>Everett</t>
  </si>
  <si>
    <t>Brenda Nelson Blanchard</t>
  </si>
  <si>
    <t>DIXON Oriole® Pencils</t>
  </si>
  <si>
    <t>Richfield</t>
  </si>
  <si>
    <t>StarTAC Series</t>
  </si>
  <si>
    <t>Aaron Day</t>
  </si>
  <si>
    <t>Trav-L-File Heavy-Duty Shuttle II, Black</t>
  </si>
  <si>
    <t>Greeneville</t>
  </si>
  <si>
    <t>Tracy Schultz</t>
  </si>
  <si>
    <t>Dixon My First Ticonderoga Pencil, #2</t>
  </si>
  <si>
    <t>Lindenwold</t>
  </si>
  <si>
    <t>Stanley Steele</t>
  </si>
  <si>
    <t>Ellicott City</t>
  </si>
  <si>
    <t>Hilda Bennett</t>
  </si>
  <si>
    <t>DAX Clear Channel Poster Frame</t>
  </si>
  <si>
    <t>Rosemary Stark</t>
  </si>
  <si>
    <t>TI 36X Solar Scientific Calculator</t>
  </si>
  <si>
    <t>Yvonne Mann</t>
  </si>
  <si>
    <t>Model L Table or Wall-Mount Pencil Sharpener</t>
  </si>
  <si>
    <t>Lloyd Fuller</t>
  </si>
  <si>
    <t>Bernice F Day</t>
  </si>
  <si>
    <t>Quincy</t>
  </si>
  <si>
    <t>Roger Meyer</t>
  </si>
  <si>
    <t>Staples Bulldog Clip</t>
  </si>
  <si>
    <t>Seth Thomas 13 1/2" Wall Clock</t>
  </si>
  <si>
    <t>Scott Moore</t>
  </si>
  <si>
    <t>Bravo II™ Megaboss® 12-Amp Hard Body Upright, Replacement Belts, 2 Belts per Pack</t>
  </si>
  <si>
    <t>Neil Barbee</t>
  </si>
  <si>
    <t>Moline</t>
  </si>
  <si>
    <t>Jack Morse</t>
  </si>
  <si>
    <t>Paul W French</t>
  </si>
  <si>
    <t>Plymouth Boxed Rubber Bands by Plymouth</t>
  </si>
  <si>
    <t>Newark</t>
  </si>
  <si>
    <t>Accessory32</t>
  </si>
  <si>
    <t>Artistic Insta-Plaque</t>
  </si>
  <si>
    <t>Jerome McIntosh</t>
  </si>
  <si>
    <t>Dixon Ticonderoga Core-Lock Colored Pencils</t>
  </si>
  <si>
    <t>Carol Wood</t>
  </si>
  <si>
    <t>Avery 482</t>
  </si>
  <si>
    <t>Alexandria</t>
  </si>
  <si>
    <t>Binney &amp; Smith inkTank™ Erasable Pocket Highlighter, Chisel Tip, Yellow</t>
  </si>
  <si>
    <t>Brooke Weeks Taylor</t>
  </si>
  <si>
    <t>Ansonia</t>
  </si>
  <si>
    <t>Marguerite Moss</t>
  </si>
  <si>
    <t>Yarmouth</t>
  </si>
  <si>
    <t>Norman Adams</t>
  </si>
  <si>
    <t>GBC Binding covers</t>
  </si>
  <si>
    <t>Rubber Band Ball</t>
  </si>
  <si>
    <t>Seth Thomas 8 1/2" Cubicle Clock</t>
  </si>
  <si>
    <t>Jamie Ward</t>
  </si>
  <si>
    <t>Odenton</t>
  </si>
  <si>
    <t>Jessie Houston</t>
  </si>
  <si>
    <t>5125</t>
  </si>
  <si>
    <t>Michelle Bryant Phillips</t>
  </si>
  <si>
    <t>Tucker</t>
  </si>
  <si>
    <t>Carlos Adkins</t>
  </si>
  <si>
    <t>Land O Lakes</t>
  </si>
  <si>
    <t>Marguerite Yu</t>
  </si>
  <si>
    <t>Weslaco</t>
  </si>
  <si>
    <t>Danielle Myers</t>
  </si>
  <si>
    <t>Newell 308</t>
  </si>
  <si>
    <t>Judy Frazier</t>
  </si>
  <si>
    <t>East Massapequa</t>
  </si>
  <si>
    <t>Bevis Rectangular Conference Tables</t>
  </si>
  <si>
    <t>Kathleen P Bloom</t>
  </si>
  <si>
    <t>Corvallis</t>
  </si>
  <si>
    <t>Dixon Ticonderoga® Erasable Colored Pencil Set, 12-Color</t>
  </si>
  <si>
    <t>Calvin Boyette</t>
  </si>
  <si>
    <t>Gilbert</t>
  </si>
  <si>
    <t>Tenex Antistatic Computer Chair Mats</t>
  </si>
  <si>
    <t>Mark Ritchie</t>
  </si>
  <si>
    <t>Alfred Harmon</t>
  </si>
  <si>
    <t>Xerox 1984</t>
  </si>
  <si>
    <t>Cheshire</t>
  </si>
  <si>
    <t>Jeanette Davies</t>
  </si>
  <si>
    <t>Leo E Underwood</t>
  </si>
  <si>
    <t>Sandy Mueller</t>
  </si>
  <si>
    <t>Providence</t>
  </si>
  <si>
    <t>Harriet Wooten</t>
  </si>
  <si>
    <t>Okidata ML395C Color Dot Matrix Printer</t>
  </si>
  <si>
    <t>Staples Pen Style Liquid Stix; Assorted (yellow, pink, green, blue, orange), 5/Pack</t>
  </si>
  <si>
    <t>Pam Anthony</t>
  </si>
  <si>
    <t>Winthrop</t>
  </si>
  <si>
    <t>Jordan Beard</t>
  </si>
  <si>
    <t>Xerox 1995</t>
  </si>
  <si>
    <t>Leavenworth</t>
  </si>
  <si>
    <t>Leigh Burnette Hurley</t>
  </si>
  <si>
    <t>Xerox 1994</t>
  </si>
  <si>
    <t>Alfred Barber</t>
  </si>
  <si>
    <t>Mehlville</t>
  </si>
  <si>
    <t>Eileen Dalton</t>
  </si>
  <si>
    <t>Hon Olson Stacker Stools</t>
  </si>
  <si>
    <t>Fluorescent Highlighters by Dixon</t>
  </si>
  <si>
    <t>IBM 80 Minute CD-R Spindle, 50/Pack</t>
  </si>
  <si>
    <t>Earl Buck</t>
  </si>
  <si>
    <t>Acco Smartsocket® Color-Coded Six-Outlet AC Adapter Model Surge Protectors</t>
  </si>
  <si>
    <t>Danny Vaughn</t>
  </si>
  <si>
    <t>Bloomfield</t>
  </si>
  <si>
    <t>George McLamb</t>
  </si>
  <si>
    <t>Sidney Scarborough</t>
  </si>
  <si>
    <t>Charlottesville</t>
  </si>
  <si>
    <t>Wendy Pridgen Pearce</t>
  </si>
  <si>
    <t>Okidata ML520 Series Dot Matrix Printers</t>
  </si>
  <si>
    <t>Holland</t>
  </si>
  <si>
    <t>TOPS Voice Message Log Book, Flash Format</t>
  </si>
  <si>
    <t>Ernest Peele</t>
  </si>
  <si>
    <t>Teresa Watts</t>
  </si>
  <si>
    <t>Alicia Wood Shah</t>
  </si>
  <si>
    <t>Gyration Ultra Cordless Optical Suite</t>
  </si>
  <si>
    <t>Alison Sharp</t>
  </si>
  <si>
    <t>Ibico Hi-Tech Manual Binding System</t>
  </si>
  <si>
    <t>Laconia</t>
  </si>
  <si>
    <t>Seth Matthews</t>
  </si>
  <si>
    <t>Inkster</t>
  </si>
  <si>
    <t>Edna Huang</t>
  </si>
  <si>
    <t>South Hadley</t>
  </si>
  <si>
    <t>Frances Saunders</t>
  </si>
  <si>
    <t>Brenda May</t>
  </si>
  <si>
    <t>Quartet Alpha® White Chalk, 12/Pack</t>
  </si>
  <si>
    <t>Marlene Phillips</t>
  </si>
  <si>
    <t>Imation 3.5" DS-HD Macintosh Formatted Diskettes, 10/Pack</t>
  </si>
  <si>
    <t>Brett Hawkins</t>
  </si>
  <si>
    <t>Global Adaptabilities™ Conference Tables</t>
  </si>
  <si>
    <t>Highlands Ranch</t>
  </si>
  <si>
    <t>Alexandra Wise</t>
  </si>
  <si>
    <t>GBC Standard Plastic Binding Systems Combs</t>
  </si>
  <si>
    <t>Debra P May</t>
  </si>
  <si>
    <t>Danielle Kramer</t>
  </si>
  <si>
    <t>Altus</t>
  </si>
  <si>
    <t>Jacob Burgess</t>
  </si>
  <si>
    <t>Wilson</t>
  </si>
  <si>
    <t>Peter Brooks</t>
  </si>
  <si>
    <t>Wesley Reid</t>
  </si>
  <si>
    <t>Leo J Olson</t>
  </si>
  <si>
    <t>Josephine Dalton</t>
  </si>
  <si>
    <t>T65</t>
  </si>
  <si>
    <t>Xerox 1892</t>
  </si>
  <si>
    <t>Kate McKenna</t>
  </si>
  <si>
    <t>Toledo</t>
  </si>
  <si>
    <t>Eileen Schwartz</t>
  </si>
  <si>
    <t>Xerox 199</t>
  </si>
  <si>
    <t>Liberal</t>
  </si>
  <si>
    <t>Bretford Rectangular Conference Table Tops</t>
  </si>
  <si>
    <t>Snap-A-Way® Black Print Carbonless Speed Message, No Reply Area, Duplicate</t>
  </si>
  <si>
    <t>Angela Howe</t>
  </si>
  <si>
    <t>Grand Island</t>
  </si>
  <si>
    <t>Francis Sherrill</t>
  </si>
  <si>
    <t>Asheville</t>
  </si>
  <si>
    <t>Helen Simpson</t>
  </si>
  <si>
    <t>Enid</t>
  </si>
  <si>
    <t>Bernard Thompson</t>
  </si>
  <si>
    <t>Raleigh</t>
  </si>
  <si>
    <t>Vicki Zhu Daniels</t>
  </si>
  <si>
    <t>Clearfield</t>
  </si>
  <si>
    <t>Marie Pittman</t>
  </si>
  <si>
    <t>Owatonna</t>
  </si>
  <si>
    <t>2160</t>
  </si>
  <si>
    <t>Xerox 1916</t>
  </si>
  <si>
    <t>Lester Sawyer</t>
  </si>
  <si>
    <t>Kevin Wolfe</t>
  </si>
  <si>
    <t>Kensington 7 Outlet MasterPiece Power Center</t>
  </si>
  <si>
    <t>East Point</t>
  </si>
  <si>
    <t>Logitech Internet Navigator Keyboard</t>
  </si>
  <si>
    <t>Kay Schultz</t>
  </si>
  <si>
    <t>College Station</t>
  </si>
  <si>
    <t>Ronnie Proctor</t>
  </si>
  <si>
    <t>Randall Boykin</t>
  </si>
  <si>
    <t>Xerox 1888</t>
  </si>
  <si>
    <t>Earl Watts</t>
  </si>
  <si>
    <t>Hopkins</t>
  </si>
  <si>
    <t>Lester Copeland</t>
  </si>
  <si>
    <t>Titusville</t>
  </si>
  <si>
    <t>Sam Woodward</t>
  </si>
  <si>
    <t>Marlene Kirk</t>
  </si>
  <si>
    <t>South Bend</t>
  </si>
  <si>
    <t>Henry Ball</t>
  </si>
  <si>
    <t>Morgantown</t>
  </si>
  <si>
    <t>Daniel Christian</t>
  </si>
  <si>
    <t>New Orleans</t>
  </si>
  <si>
    <t>Gina B Hess</t>
  </si>
  <si>
    <t>Webster</t>
  </si>
  <si>
    <t>Ricky Hensley</t>
  </si>
  <si>
    <t>Gresham</t>
  </si>
  <si>
    <t>Meredith Walters</t>
  </si>
  <si>
    <t>Peggy Rowe</t>
  </si>
  <si>
    <t>Stacey Hale</t>
  </si>
  <si>
    <t>Summit</t>
  </si>
  <si>
    <t>Sheryl Reese</t>
  </si>
  <si>
    <t>Owensboro</t>
  </si>
  <si>
    <t>Frances Holt</t>
  </si>
  <si>
    <t>Cambridge</t>
  </si>
  <si>
    <t>Jon Hale</t>
  </si>
  <si>
    <t>Belle Glade</t>
  </si>
  <si>
    <t>Geoffrey Rivera</t>
  </si>
  <si>
    <t>Deflect-o EconoMat Studded, No Bevel Mat for Low Pile Carpeting</t>
  </si>
  <si>
    <t>Donna Block</t>
  </si>
  <si>
    <t>Dalton</t>
  </si>
  <si>
    <t>Don Beard</t>
  </si>
  <si>
    <t>Ozark</t>
  </si>
  <si>
    <t>Pauline Boyette</t>
  </si>
  <si>
    <t>Virginia Gay</t>
  </si>
  <si>
    <t>ACCOHIDE® Binder by Acco</t>
  </si>
  <si>
    <t>Shawnee</t>
  </si>
  <si>
    <t>Robin High</t>
  </si>
  <si>
    <t>Howard Miller 13-3/4" Diameter Brushed Chrome Round Wall Clock</t>
  </si>
  <si>
    <t>Shakopee</t>
  </si>
  <si>
    <t>Dwight Stephenson</t>
  </si>
  <si>
    <t>Katherine Kearney</t>
  </si>
  <si>
    <t>Lemon Grove</t>
  </si>
  <si>
    <t>Monica McCormick</t>
  </si>
  <si>
    <t>Albemarle</t>
  </si>
  <si>
    <t>Xerox 1929</t>
  </si>
  <si>
    <t>Vickie Martinez</t>
  </si>
  <si>
    <t>William Sharma</t>
  </si>
  <si>
    <t>Maplewood</t>
  </si>
  <si>
    <t>Wayne Bean</t>
  </si>
  <si>
    <t>3M Hangers With Command Adhesive</t>
  </si>
  <si>
    <t>Kristin George</t>
  </si>
  <si>
    <t>Chromcraft Bull-Nose Wood Oval Conference Tables &amp; Bases</t>
  </si>
  <si>
    <t>Saco</t>
  </si>
  <si>
    <t>Justin Frank</t>
  </si>
  <si>
    <t>Herbert Donnelly Swanson</t>
  </si>
  <si>
    <t>Londonderry</t>
  </si>
  <si>
    <t>Ray Silverman</t>
  </si>
  <si>
    <t>Ponte Vedra Beach</t>
  </si>
  <si>
    <t>Kerry Beach</t>
  </si>
  <si>
    <t>Cumberland</t>
  </si>
  <si>
    <t>Randy Jiang</t>
  </si>
  <si>
    <t>Norwich</t>
  </si>
  <si>
    <t>Lynda Banks</t>
  </si>
  <si>
    <t>Avery 492</t>
  </si>
  <si>
    <t>Kalamazoo</t>
  </si>
  <si>
    <t>Kenneth Pollock</t>
  </si>
  <si>
    <t>Harrisonburg</t>
  </si>
  <si>
    <t>Newell 326</t>
  </si>
  <si>
    <t>Pat Kinney</t>
  </si>
  <si>
    <t>Steve O'Brien</t>
  </si>
  <si>
    <t>Bolingbrook</t>
  </si>
  <si>
    <t>Holly Pate</t>
  </si>
  <si>
    <t>Xerox 1993</t>
  </si>
  <si>
    <t>Mustang</t>
  </si>
  <si>
    <t>Joseph Dawson</t>
  </si>
  <si>
    <t>Muncie</t>
  </si>
  <si>
    <t>V 3600 Series</t>
  </si>
  <si>
    <t>Frances Johnson</t>
  </si>
  <si>
    <t>Iris Project Case</t>
  </si>
  <si>
    <t>Middle River</t>
  </si>
  <si>
    <t>Alice Berger McIntyre</t>
  </si>
  <si>
    <t>Lunenburg</t>
  </si>
  <si>
    <t>Kurt O'Connor</t>
  </si>
  <si>
    <t>Edinburg</t>
  </si>
  <si>
    <t>Lucille McGee</t>
  </si>
  <si>
    <t>Greensburg</t>
  </si>
  <si>
    <t>Claudia Boyle</t>
  </si>
  <si>
    <t>Biddeford</t>
  </si>
  <si>
    <t>Avery Durable Binders</t>
  </si>
  <si>
    <t>Tom McFarland</t>
  </si>
  <si>
    <t>Lodi</t>
  </si>
  <si>
    <t>Aaron Riggs</t>
  </si>
  <si>
    <t>Newell 333</t>
  </si>
  <si>
    <t>Megan Woods</t>
  </si>
  <si>
    <t>Green Bay</t>
  </si>
  <si>
    <t>John Bray</t>
  </si>
  <si>
    <t>Canon Image Class D660 Copier</t>
  </si>
  <si>
    <t>Christopher High</t>
  </si>
  <si>
    <t>Massillon</t>
  </si>
  <si>
    <t>Clara Kaplan</t>
  </si>
  <si>
    <t>Jay Simon</t>
  </si>
  <si>
    <t>Rogers</t>
  </si>
  <si>
    <t>Prang Drawing Pencil Set</t>
  </si>
  <si>
    <t>Laurence Flowers</t>
  </si>
  <si>
    <t>Biloxi</t>
  </si>
  <si>
    <t>Cathy Burgess</t>
  </si>
  <si>
    <t>Shreveport</t>
  </si>
  <si>
    <t>Valerie Moon</t>
  </si>
  <si>
    <t>Brooke Lancaster</t>
  </si>
  <si>
    <t>Frances Powers</t>
  </si>
  <si>
    <t>KI Conference Tables</t>
  </si>
  <si>
    <t>Reynoldsburg</t>
  </si>
  <si>
    <t>Steven Long</t>
  </si>
  <si>
    <t>Adrian</t>
  </si>
  <si>
    <t>Karen O'Donnell</t>
  </si>
  <si>
    <t>Jeanne Walker</t>
  </si>
  <si>
    <t>Kelly Shaw</t>
  </si>
  <si>
    <t>Gerald Crabtree</t>
  </si>
  <si>
    <t>Aberdeen</t>
  </si>
  <si>
    <t>Natalie Watts</t>
  </si>
  <si>
    <t>West Des Moines</t>
  </si>
  <si>
    <t>Xerox 196</t>
  </si>
  <si>
    <t>Elsie Floyd</t>
  </si>
  <si>
    <t>Beverly Hills</t>
  </si>
  <si>
    <t>Epson C62 Color Inkjet Printer</t>
  </si>
  <si>
    <t>Xerox 197</t>
  </si>
  <si>
    <t>Eric West</t>
  </si>
  <si>
    <t>Hempstead</t>
  </si>
  <si>
    <t>John Morse</t>
  </si>
  <si>
    <t>New Britain</t>
  </si>
  <si>
    <t>Judy Merritt</t>
  </si>
  <si>
    <t>Jimmy Wang</t>
  </si>
  <si>
    <t>Bionaire 99.97% HEPA Air Cleaner</t>
  </si>
  <si>
    <t>Verbatim DVD-R, 3.95GB, SR, Mitsubishi Branded, Jewel</t>
  </si>
  <si>
    <t>Melanie Morrow</t>
  </si>
  <si>
    <t>Quartet Omega® Colored Chalk, 12/Pack</t>
  </si>
  <si>
    <t>Dennis Welch</t>
  </si>
  <si>
    <t>Laredo</t>
  </si>
  <si>
    <t>Becky O'Brien</t>
  </si>
  <si>
    <t>Springville</t>
  </si>
  <si>
    <t>Staples Vinyl Coated Paper Clips, 800/Box</t>
  </si>
  <si>
    <t>Teresa Hill</t>
  </si>
  <si>
    <t>Annie Odom</t>
  </si>
  <si>
    <t>Fellowes Superior 10 Outlet Split Surge Protector</t>
  </si>
  <si>
    <t>New City</t>
  </si>
  <si>
    <t>Hewlett Packard LaserJet 3310 Copier</t>
  </si>
  <si>
    <t>Unpadded Memo Slips</t>
  </si>
  <si>
    <t>Gary Frazier</t>
  </si>
  <si>
    <t>North Royalton</t>
  </si>
  <si>
    <t>Dennis Block Richardson</t>
  </si>
  <si>
    <t>Niagara Falls</t>
  </si>
  <si>
    <t>Sam</t>
  </si>
  <si>
    <t>Chris</t>
  </si>
  <si>
    <t>William</t>
  </si>
  <si>
    <t>Erin</t>
  </si>
  <si>
    <t>Grand Total</t>
  </si>
  <si>
    <t>Quantity</t>
  </si>
  <si>
    <t>Sale</t>
  </si>
  <si>
    <t>Gross Profit</t>
  </si>
  <si>
    <t>Dollar Discount</t>
  </si>
  <si>
    <t>Cumulative cost</t>
  </si>
  <si>
    <t>Y</t>
  </si>
  <si>
    <t>2. Segment Distribution of each product category</t>
  </si>
  <si>
    <t>6. Distribution of Order Priority</t>
  </si>
  <si>
    <t>Distribution</t>
  </si>
  <si>
    <t>Sales %</t>
  </si>
  <si>
    <t>Quantity %</t>
  </si>
  <si>
    <t>X</t>
  </si>
  <si>
    <t>Max Sales</t>
  </si>
  <si>
    <t>Not Max Sales</t>
  </si>
  <si>
    <t>Sum of Profit</t>
  </si>
  <si>
    <t>Profit percentage</t>
  </si>
  <si>
    <t>Sum of Sales</t>
  </si>
  <si>
    <t>Sale %</t>
  </si>
  <si>
    <t>Jan</t>
  </si>
  <si>
    <t>Quantity Sold</t>
  </si>
  <si>
    <t>% of Sold Qty</t>
  </si>
  <si>
    <t>Total Profit</t>
  </si>
  <si>
    <t>Regional Profit</t>
  </si>
  <si>
    <t>10. Analyzing Shipping priority share (what product is high priority and also by region)</t>
  </si>
  <si>
    <t>All other Cost</t>
  </si>
  <si>
    <t>Net Profit</t>
  </si>
  <si>
    <t>Average</t>
  </si>
  <si>
    <t>count</t>
  </si>
  <si>
    <t>Feb</t>
  </si>
  <si>
    <t>Mar</t>
  </si>
  <si>
    <t>Apr</t>
  </si>
  <si>
    <t>May</t>
  </si>
  <si>
    <t>Jun</t>
  </si>
  <si>
    <t>Total Sales</t>
  </si>
  <si>
    <t>Gross Cost</t>
  </si>
  <si>
    <t>Total</t>
  </si>
  <si>
    <t>Values</t>
  </si>
  <si>
    <t>Choice</t>
  </si>
  <si>
    <t>Totals</t>
  </si>
  <si>
    <t>Order Date (Month)</t>
  </si>
  <si>
    <t>Date</t>
  </si>
  <si>
    <t>Title</t>
  </si>
  <si>
    <t>Sold Quantity</t>
  </si>
  <si>
    <t>Count</t>
  </si>
  <si>
    <t>Row Labels</t>
  </si>
  <si>
    <t xml:space="preserve">Top 3 Values </t>
  </si>
  <si>
    <t>Top 3 Names</t>
  </si>
  <si>
    <t>The Dates</t>
  </si>
  <si>
    <t>The Products</t>
  </si>
  <si>
    <t>Column Labels</t>
  </si>
  <si>
    <t>Selection</t>
  </si>
  <si>
    <t>Σ Costs</t>
  </si>
  <si>
    <t>Σ Discount</t>
  </si>
  <si>
    <t>Σ Profit</t>
  </si>
  <si>
    <t>Σ Shipping</t>
  </si>
  <si>
    <t>Filter by segment, what do they buy, what priority and which city, what products</t>
  </si>
  <si>
    <t xml:space="preserve"> Shipping priority share (what product is high priority and also by region)</t>
  </si>
  <si>
    <t>Week Number</t>
  </si>
  <si>
    <t>Recent order date</t>
  </si>
  <si>
    <t># of Orders</t>
  </si>
  <si>
    <t>Last Orderd</t>
  </si>
  <si>
    <t>Sales&amp;Profit_TrendChart</t>
  </si>
  <si>
    <t>Monthly Avg Sale</t>
  </si>
  <si>
    <t>Sales&amp;Profit_BarChart</t>
  </si>
  <si>
    <t>Sales&amp;Profit_SmallDonut</t>
  </si>
  <si>
    <t>Sales&amp;Profit_VBAhover</t>
  </si>
  <si>
    <t>SALES &amp; PROFIT</t>
  </si>
  <si>
    <t>The Map</t>
  </si>
  <si>
    <t>SALES MAP</t>
  </si>
  <si>
    <t>RegionalBars+Matrix</t>
  </si>
  <si>
    <t>TRENDS</t>
  </si>
  <si>
    <t>LineChart</t>
  </si>
  <si>
    <t>Bars</t>
  </si>
  <si>
    <t>Matrix</t>
  </si>
  <si>
    <t>height</t>
  </si>
  <si>
    <t>Sales&amp;Profit_</t>
  </si>
  <si>
    <t>Matrix+</t>
  </si>
  <si>
    <t>ScatterChart+Donut</t>
  </si>
  <si>
    <t>N/A</t>
  </si>
  <si>
    <t>Enterpreneurs</t>
  </si>
  <si>
    <t>Cust. Segment</t>
  </si>
  <si>
    <t>DISTRIBUTION</t>
  </si>
  <si>
    <t>https://static.vecteezy.com/system/resources/previews/002/304/213/non_2x/dark-purple-circuit-microchip-technology-on-future-background-hi-tech-digital-and-communication-concept-design-free-space-for-text-in-put-illustration-vector.jpg</t>
  </si>
  <si>
    <t>Top Loss</t>
  </si>
  <si>
    <t>Top Sale Cities</t>
  </si>
  <si>
    <t>Least Sale Cities</t>
  </si>
  <si>
    <t>Top Profit Cities</t>
  </si>
  <si>
    <t>Least Profit Cities</t>
  </si>
  <si>
    <t>City Name</t>
  </si>
  <si>
    <t>Top Cities</t>
  </si>
  <si>
    <t>Least Cities</t>
  </si>
  <si>
    <t>Top Selling Products</t>
  </si>
  <si>
    <t>Top Profit Products</t>
  </si>
  <si>
    <t>Least Selling Products</t>
  </si>
  <si>
    <t>Top Products</t>
  </si>
  <si>
    <t>Least Products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</si>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</sst>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5" formatCode="&quot;$&quot;#,##0;\-&quot;$&quot;#,##0"/>
    <numFmt numFmtId="6" formatCode="&quot;$&quot;#,##0;[Red]\-&quot;$&quot;#,##0"/>
    <numFmt numFmtId="44" formatCode="_-&quot;$&quot;* #,##0.00_-;\-&quot;$&quot;* #,##0.00_-;_-&quot;$&quot;* &quot;-&quot;??_-;_-@_-"/>
    <numFmt numFmtId="43" formatCode="_-* #,##0.00_-;\-* #,##0.00_-;_-* &quot;-&quot;??_-;_-@_-"/>
    <numFmt numFmtId="164" formatCode="&quot;$&quot;#,##0.00"/>
    <numFmt numFmtId="165" formatCode="_-* #,##0_-;\-* #,##0_-;_-* &quot;-&quot;??_-;_-@_-"/>
    <numFmt numFmtId="166" formatCode="\$#,##0;\-\$#,##0;\$#,##0"/>
    <numFmt numFmtId="167" formatCode="[=0]&quot;&quot;;dd/mmm"/>
    <numFmt numFmtId="168" formatCode="&quot;$&quot;#,##0"/>
    <numFmt numFmtId="169" formatCode="[$-F800]dddd\,\ mmmm\ dd\,\ yyyy"/>
  </numFmts>
  <fonts count="30" x14ac:knownFonts="1">
    <font>
      <sz val="10"/>
      <color rgb="FF000000"/>
      <name val="Arial"/>
      <scheme val="minor"/>
    </font>
    <font>
      <sz val="11"/>
      <color theme="1"/>
      <name val="Calibri"/>
      <family val="2"/>
    </font>
    <font>
      <sz val="10"/>
      <color theme="1"/>
      <name val="Arial"/>
      <family val="2"/>
      <scheme val="minor"/>
    </font>
    <font>
      <sz val="11"/>
      <color rgb="FF000000"/>
      <name val="Calibri"/>
      <family val="2"/>
    </font>
    <font>
      <sz val="8"/>
      <name val="Arial"/>
      <family val="2"/>
      <scheme val="minor"/>
    </font>
    <font>
      <b/>
      <sz val="10"/>
      <color theme="1"/>
      <name val="Arial"/>
      <family val="2"/>
      <scheme val="minor"/>
    </font>
    <font>
      <sz val="11"/>
      <color rgb="FFFF0000"/>
      <name val="Calibri"/>
      <family val="2"/>
    </font>
    <font>
      <sz val="11"/>
      <color rgb="FF194AFE"/>
      <name val="Calibri"/>
      <family val="2"/>
    </font>
    <font>
      <sz val="10"/>
      <color theme="2"/>
      <name val="Arial"/>
      <family val="2"/>
      <scheme val="minor"/>
    </font>
    <font>
      <sz val="10"/>
      <color rgb="FF000000"/>
      <name val="Arial"/>
      <scheme val="minor"/>
    </font>
    <font>
      <b/>
      <sz val="10"/>
      <color rgb="FF000000"/>
      <name val="Arial"/>
      <family val="2"/>
      <scheme val="minor"/>
    </font>
    <font>
      <sz val="11"/>
      <color theme="0"/>
      <name val="Calibri"/>
      <family val="2"/>
    </font>
    <font>
      <sz val="11"/>
      <color theme="0"/>
      <name val="Avenir Next LT Pro"/>
      <family val="2"/>
    </font>
    <font>
      <sz val="10"/>
      <name val="Arial"/>
      <family val="2"/>
      <scheme val="minor"/>
    </font>
    <font>
      <sz val="8"/>
      <color rgb="FF000000"/>
      <name val="Segoe UI"/>
      <family val="2"/>
    </font>
    <font>
      <sz val="11"/>
      <color rgb="FF000000"/>
      <name val="Avenir Next LT Pro"/>
      <family val="2"/>
    </font>
    <font>
      <sz val="11"/>
      <color rgb="FFFF0000"/>
      <name val="Avenir Next LT Pro"/>
      <family val="2"/>
    </font>
    <font>
      <sz val="11"/>
      <name val="Avenir Next LT Pro"/>
      <family val="2"/>
    </font>
    <font>
      <sz val="10"/>
      <color rgb="FF000000"/>
      <name val="Arial"/>
      <family val="2"/>
      <scheme val="minor"/>
    </font>
    <font>
      <sz val="10"/>
      <color rgb="FFFF0000"/>
      <name val="Arial"/>
      <family val="2"/>
      <scheme val="minor"/>
    </font>
    <font>
      <b/>
      <sz val="11"/>
      <color rgb="FF000000"/>
      <name val="Avenir Next LT Pro"/>
      <family val="2"/>
    </font>
    <font>
      <sz val="11"/>
      <color rgb="FF194AFE"/>
      <name val="Avenir Next LT Pro"/>
      <family val="2"/>
    </font>
    <font>
      <b/>
      <sz val="11"/>
      <color rgb="FFFF0000"/>
      <name val="Avenir Next LT Pro"/>
      <family val="2"/>
    </font>
    <font>
      <b/>
      <sz val="11"/>
      <color theme="1"/>
      <name val="Calibri"/>
      <family val="2"/>
    </font>
    <font>
      <b/>
      <sz val="11"/>
      <color rgb="FF000000"/>
      <name val="Calibri"/>
      <family val="2"/>
    </font>
    <font>
      <b/>
      <sz val="11"/>
      <color rgb="FFFF0000"/>
      <name val="Calibri"/>
      <family val="2"/>
    </font>
    <font>
      <sz val="11"/>
      <color theme="2" tint="-4.9989318521683403E-2"/>
      <name val="Avenir Next LT Pro"/>
      <family val="2"/>
    </font>
    <font>
      <sz val="11"/>
      <color rgb="FF000000"/>
      <name val="Arial"/>
      <family val="2"/>
      <scheme val="minor"/>
    </font>
    <font>
      <sz val="14"/>
      <color rgb="FF000000"/>
      <name val="Avenir Next LT Pro"/>
      <family val="2"/>
    </font>
    <font>
      <sz val="18"/>
      <color rgb="FF7030A0"/>
      <name val="Avenir Next LT Pro"/>
      <family val="2"/>
    </font>
  </fonts>
  <fills count="7">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2" tint="-4.9989318521683403E-2"/>
        <bgColor indexed="64"/>
      </patternFill>
    </fill>
    <fill>
      <patternFill patternType="solid">
        <fgColor theme="0"/>
        <bgColor indexed="64"/>
      </patternFill>
    </fill>
    <fill>
      <patternFill patternType="solid">
        <fgColor rgb="FF7030A0"/>
        <bgColor indexed="64"/>
      </patternFill>
    </fill>
  </fills>
  <borders count="72">
    <border>
      <left/>
      <right/>
      <top/>
      <bottom/>
      <diagonal/>
    </border>
    <border>
      <left/>
      <right/>
      <top/>
      <bottom style="thin">
        <color indexed="64"/>
      </bottom>
      <diagonal/>
    </border>
    <border>
      <left style="thin">
        <color indexed="64"/>
      </left>
      <right/>
      <top/>
      <bottom/>
      <diagonal/>
    </border>
    <border>
      <left style="thin">
        <color rgb="FFABABAB"/>
      </left>
      <right/>
      <top style="thin">
        <color rgb="FFABABAB"/>
      </top>
      <bottom/>
      <diagonal/>
    </border>
    <border>
      <left style="thin">
        <color rgb="FFABABAB"/>
      </left>
      <right/>
      <top style="thin">
        <color indexed="65"/>
      </top>
      <bottom/>
      <diagonal/>
    </border>
    <border>
      <left/>
      <right/>
      <top style="thin">
        <color rgb="FFABABAB"/>
      </top>
      <bottom/>
      <diagonal/>
    </border>
    <border>
      <left/>
      <right/>
      <top style="thin">
        <color indexed="65"/>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ABABAB"/>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thin">
        <color rgb="FFABABAB"/>
      </left>
      <right/>
      <top style="medium">
        <color indexed="64"/>
      </top>
      <bottom/>
      <diagonal/>
    </border>
    <border>
      <left style="thin">
        <color indexed="64"/>
      </left>
      <right/>
      <top style="medium">
        <color indexed="64"/>
      </top>
      <bottom style="double">
        <color indexed="64"/>
      </bottom>
      <diagonal/>
    </border>
    <border>
      <left style="thin">
        <color rgb="FFABABAB"/>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thin">
        <color rgb="FFABABAB"/>
      </top>
      <bottom/>
      <diagonal/>
    </border>
    <border>
      <left style="medium">
        <color indexed="64"/>
      </left>
      <right/>
      <top style="thin">
        <color indexed="65"/>
      </top>
      <bottom/>
      <diagonal/>
    </border>
    <border>
      <left/>
      <right style="medium">
        <color indexed="64"/>
      </right>
      <top style="thin">
        <color rgb="FFABABAB"/>
      </top>
      <bottom/>
      <diagonal/>
    </border>
    <border>
      <left style="thin">
        <color rgb="FFABABAB"/>
      </left>
      <right/>
      <top/>
      <bottom style="medium">
        <color indexed="64"/>
      </bottom>
      <diagonal/>
    </border>
    <border>
      <left style="thin">
        <color rgb="FFABABAB"/>
      </left>
      <right/>
      <top style="thin">
        <color indexed="65"/>
      </top>
      <bottom style="medium">
        <color indexed="64"/>
      </bottom>
      <diagonal/>
    </border>
    <border>
      <left/>
      <right/>
      <top style="thin">
        <color indexed="65"/>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5"/>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5"/>
      </top>
      <bottom/>
      <diagonal/>
    </border>
    <border>
      <left style="medium">
        <color indexed="64"/>
      </left>
      <right style="medium">
        <color indexed="64"/>
      </right>
      <top style="thin">
        <color rgb="FFABABAB"/>
      </top>
      <bottom/>
      <diagonal/>
    </border>
    <border>
      <left style="medium">
        <color indexed="64"/>
      </left>
      <right style="medium">
        <color indexed="64"/>
      </right>
      <top style="thin">
        <color indexed="65"/>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ABABAB"/>
      </left>
      <right style="medium">
        <color indexed="64"/>
      </right>
      <top style="medium">
        <color indexed="64"/>
      </top>
      <bottom style="medium">
        <color indexed="64"/>
      </bottom>
      <diagonal/>
    </border>
    <border>
      <left style="thin">
        <color indexed="65"/>
      </left>
      <right/>
      <top style="medium">
        <color indexed="64"/>
      </top>
      <bottom style="medium">
        <color indexed="64"/>
      </bottom>
      <diagonal/>
    </border>
    <border>
      <left style="thin">
        <color rgb="FFABABAB"/>
      </left>
      <right style="medium">
        <color indexed="64"/>
      </right>
      <top style="medium">
        <color indexed="64"/>
      </top>
      <bottom/>
      <diagonal/>
    </border>
    <border>
      <left style="thin">
        <color rgb="FFABABAB"/>
      </left>
      <right style="medium">
        <color indexed="64"/>
      </right>
      <top/>
      <bottom/>
      <diagonal/>
    </border>
    <border>
      <left style="thin">
        <color rgb="FFABABAB"/>
      </left>
      <right style="medium">
        <color indexed="64"/>
      </right>
      <top/>
      <bottom style="medium">
        <color indexed="64"/>
      </bottom>
      <diagonal/>
    </border>
    <border>
      <left style="thin">
        <color rgb="FFABABAB"/>
      </left>
      <right/>
      <top style="medium">
        <color indexed="64"/>
      </top>
      <bottom style="medium">
        <color indexed="64"/>
      </bottom>
      <diagonal/>
    </border>
    <border>
      <left/>
      <right style="medium">
        <color indexed="64"/>
      </right>
      <top style="thin">
        <color indexed="65"/>
      </top>
      <bottom/>
      <diagonal/>
    </border>
    <border>
      <left/>
      <right style="medium">
        <color indexed="64"/>
      </right>
      <top style="thin">
        <color indexed="65"/>
      </top>
      <bottom style="medium">
        <color indexed="64"/>
      </bottom>
      <diagonal/>
    </border>
    <border>
      <left style="thin">
        <color rgb="FFABABAB"/>
      </left>
      <right style="medium">
        <color indexed="64"/>
      </right>
      <top style="thin">
        <color indexed="65"/>
      </top>
      <bottom/>
      <diagonal/>
    </border>
    <border>
      <left style="thin">
        <color rgb="FFABABAB"/>
      </left>
      <right style="medium">
        <color indexed="64"/>
      </right>
      <top style="thin">
        <color indexed="65"/>
      </top>
      <bottom style="medium">
        <color indexed="64"/>
      </bottom>
      <diagonal/>
    </border>
    <border>
      <left style="medium">
        <color indexed="64"/>
      </left>
      <right/>
      <top style="thin">
        <color indexed="65"/>
      </top>
      <bottom style="medium">
        <color indexed="64"/>
      </bottom>
      <diagonal/>
    </border>
    <border>
      <left style="thin">
        <color rgb="FFABABAB"/>
      </left>
      <right/>
      <top style="thin">
        <color rgb="FFABABAB"/>
      </top>
      <bottom style="medium">
        <color indexed="64"/>
      </bottom>
      <diagonal/>
    </border>
    <border>
      <left/>
      <right/>
      <top style="thin">
        <color rgb="FFABABAB"/>
      </top>
      <bottom style="medium">
        <color indexed="64"/>
      </bottom>
      <diagonal/>
    </border>
    <border>
      <left/>
      <right style="medium">
        <color indexed="64"/>
      </right>
      <top style="thin">
        <color rgb="FFABABAB"/>
      </top>
      <bottom style="medium">
        <color indexed="64"/>
      </bottom>
      <diagonal/>
    </border>
    <border>
      <left style="thin">
        <color rgb="FFABABAB"/>
      </left>
      <right style="medium">
        <color indexed="64"/>
      </right>
      <top style="thin">
        <color rgb="FFABABAB"/>
      </top>
      <bottom/>
      <diagonal/>
    </border>
    <border>
      <left style="thin">
        <color rgb="FFABABAB"/>
      </left>
      <right/>
      <top style="thin">
        <color indexed="64"/>
      </top>
      <bottom style="double">
        <color indexed="64"/>
      </bottom>
      <diagonal/>
    </border>
    <border>
      <left style="thin">
        <color indexed="64"/>
      </left>
      <right/>
      <top style="medium">
        <color indexed="64"/>
      </top>
      <bottom/>
      <diagonal/>
    </border>
    <border>
      <left/>
      <right style="medium">
        <color indexed="64"/>
      </right>
      <top style="thin">
        <color indexed="64"/>
      </top>
      <bottom style="double">
        <color indexed="64"/>
      </bottom>
      <diagonal/>
    </border>
    <border>
      <left/>
      <right style="thin">
        <color indexed="64"/>
      </right>
      <top style="medium">
        <color indexed="64"/>
      </top>
      <bottom/>
      <diagonal/>
    </border>
    <border>
      <left style="medium">
        <color indexed="64"/>
      </left>
      <right/>
      <top style="thin">
        <color indexed="64"/>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3"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cellStyleXfs>
  <cellXfs count="424">
    <xf numFmtId="0" fontId="0" fillId="0" borderId="0" xfId="0"/>
    <xf numFmtId="0" fontId="3" fillId="0" borderId="0" xfId="0" applyFont="1" applyAlignment="1">
      <alignment horizontal="left" vertical="center"/>
    </xf>
    <xf numFmtId="0" fontId="0" fillId="2" borderId="0" xfId="0" applyFill="1"/>
    <xf numFmtId="0" fontId="8" fillId="2" borderId="0" xfId="0" applyFont="1" applyFill="1"/>
    <xf numFmtId="0" fontId="10" fillId="2" borderId="0" xfId="0" applyFont="1" applyFill="1"/>
    <xf numFmtId="0" fontId="11" fillId="2" borderId="0" xfId="0" applyFont="1" applyFill="1"/>
    <xf numFmtId="0" fontId="12" fillId="2" borderId="0" xfId="0" applyFont="1" applyFill="1"/>
    <xf numFmtId="0" fontId="18" fillId="2" borderId="0" xfId="0" applyFont="1" applyFill="1"/>
    <xf numFmtId="0" fontId="2" fillId="2" borderId="0" xfId="0" applyFont="1" applyFill="1" applyProtection="1">
      <protection locked="0"/>
    </xf>
    <xf numFmtId="0" fontId="13" fillId="2" borderId="0" xfId="0" applyFont="1" applyFill="1" applyProtection="1">
      <protection locked="0"/>
    </xf>
    <xf numFmtId="0" fontId="0" fillId="2" borderId="0" xfId="0" applyFill="1" applyProtection="1">
      <protection locked="0"/>
    </xf>
    <xf numFmtId="0" fontId="19" fillId="2" borderId="0" xfId="0" applyFont="1" applyFill="1"/>
    <xf numFmtId="0" fontId="12" fillId="2" borderId="0" xfId="0" applyFont="1" applyFill="1" applyAlignment="1">
      <alignment vertical="center"/>
    </xf>
    <xf numFmtId="0" fontId="12" fillId="2" borderId="0" xfId="0" applyFont="1" applyFill="1" applyAlignment="1">
      <alignment horizontal="right" vertical="center"/>
    </xf>
    <xf numFmtId="0" fontId="12" fillId="2" borderId="0" xfId="0" applyFont="1" applyFill="1" applyAlignment="1">
      <alignment horizontal="right"/>
    </xf>
    <xf numFmtId="0" fontId="3" fillId="2" borderId="0" xfId="0" applyFont="1" applyFill="1"/>
    <xf numFmtId="0" fontId="7" fillId="2" borderId="0" xfId="0" applyFont="1" applyFill="1"/>
    <xf numFmtId="0" fontId="13" fillId="2" borderId="0" xfId="0" applyFont="1" applyFill="1" applyAlignment="1" applyProtection="1">
      <alignment horizontal="left"/>
      <protection locked="0"/>
    </xf>
    <xf numFmtId="0" fontId="17" fillId="2" borderId="0" xfId="0" applyFont="1" applyFill="1" applyAlignment="1" applyProtection="1">
      <alignment vertical="center"/>
      <protection locked="0"/>
    </xf>
    <xf numFmtId="1" fontId="5" fillId="0" borderId="0" xfId="0" applyNumberFormat="1" applyFont="1" applyAlignment="1">
      <alignment horizontal="left" vertical="center"/>
    </xf>
    <xf numFmtId="49" fontId="5" fillId="0" borderId="0" xfId="0" applyNumberFormat="1" applyFont="1" applyAlignment="1">
      <alignment horizontal="left" vertical="center"/>
    </xf>
    <xf numFmtId="4" fontId="5" fillId="0" borderId="0" xfId="0" applyNumberFormat="1" applyFont="1" applyAlignment="1">
      <alignment horizontal="left" vertical="center"/>
    </xf>
    <xf numFmtId="164" fontId="5" fillId="0" borderId="0" xfId="0" applyNumberFormat="1" applyFont="1" applyAlignment="1">
      <alignment horizontal="left" vertical="center"/>
    </xf>
    <xf numFmtId="0" fontId="5" fillId="0" borderId="0" xfId="0" applyFont="1" applyAlignment="1">
      <alignment horizontal="left" vertical="center"/>
    </xf>
    <xf numFmtId="14" fontId="5" fillId="0" borderId="0" xfId="0" applyNumberFormat="1" applyFont="1" applyAlignment="1">
      <alignment horizontal="left" vertical="center"/>
    </xf>
    <xf numFmtId="0" fontId="5" fillId="0" borderId="0" xfId="0" applyFont="1" applyAlignment="1">
      <alignment horizontal="left"/>
    </xf>
    <xf numFmtId="1" fontId="1" fillId="0" borderId="0" xfId="0" applyNumberFormat="1" applyFont="1" applyAlignment="1">
      <alignment horizontal="right" vertical="center"/>
    </xf>
    <xf numFmtId="49" fontId="1" fillId="0" borderId="0" xfId="0" applyNumberFormat="1" applyFont="1" applyAlignment="1">
      <alignment horizontal="left" vertical="center"/>
    </xf>
    <xf numFmtId="4" fontId="1" fillId="0" borderId="0" xfId="0" applyNumberFormat="1" applyFont="1" applyAlignment="1">
      <alignment horizontal="right" vertical="center"/>
    </xf>
    <xf numFmtId="164" fontId="1" fillId="0" borderId="0" xfId="0" applyNumberFormat="1" applyFont="1" applyAlignment="1">
      <alignment horizontal="right" vertical="center"/>
    </xf>
    <xf numFmtId="49" fontId="1" fillId="0" borderId="0" xfId="0" applyNumberFormat="1"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right" vertical="center"/>
    </xf>
    <xf numFmtId="1" fontId="1" fillId="0" borderId="0" xfId="0" applyNumberFormat="1" applyFont="1" applyAlignment="1">
      <alignment horizontal="left" vertical="center"/>
    </xf>
    <xf numFmtId="14" fontId="1" fillId="0" borderId="0" xfId="0" applyNumberFormat="1" applyFont="1" applyAlignment="1">
      <alignment horizontal="right" vertical="center"/>
    </xf>
    <xf numFmtId="0" fontId="2" fillId="0" borderId="0" xfId="0" applyFont="1"/>
    <xf numFmtId="164" fontId="3" fillId="0" borderId="0" xfId="0" applyNumberFormat="1" applyFont="1" applyAlignment="1">
      <alignment horizontal="right" vertical="center"/>
    </xf>
    <xf numFmtId="0" fontId="0" fillId="0" borderId="0" xfId="0" applyAlignment="1">
      <alignment horizontal="left" vertical="center"/>
    </xf>
    <xf numFmtId="1" fontId="2" fillId="0" borderId="0" xfId="0" applyNumberFormat="1" applyFont="1" applyAlignment="1">
      <alignment horizontal="right" vertical="center"/>
    </xf>
    <xf numFmtId="49" fontId="2" fillId="0" borderId="0" xfId="0" applyNumberFormat="1" applyFont="1" applyAlignment="1">
      <alignment horizontal="left" vertical="center"/>
    </xf>
    <xf numFmtId="4" fontId="2" fillId="0" borderId="0" xfId="0" applyNumberFormat="1" applyFont="1" applyAlignment="1">
      <alignment horizontal="right" vertical="center"/>
    </xf>
    <xf numFmtId="164" fontId="2" fillId="0" borderId="0" xfId="0" applyNumberFormat="1" applyFont="1" applyAlignment="1">
      <alignment horizontal="right" vertical="center"/>
    </xf>
    <xf numFmtId="49" fontId="2" fillId="0" borderId="0" xfId="0" applyNumberFormat="1" applyFont="1" applyAlignment="1">
      <alignment horizontal="center" vertical="center"/>
    </xf>
    <xf numFmtId="0" fontId="2" fillId="0" borderId="0" xfId="0" applyFont="1" applyAlignment="1">
      <alignment horizontal="left" vertical="center"/>
    </xf>
    <xf numFmtId="0" fontId="2" fillId="0" borderId="0" xfId="0" applyFont="1" applyAlignment="1">
      <alignment horizontal="right" vertical="center"/>
    </xf>
    <xf numFmtId="1" fontId="2" fillId="0" borderId="0" xfId="0" applyNumberFormat="1" applyFont="1" applyAlignment="1">
      <alignment horizontal="left" vertical="center"/>
    </xf>
    <xf numFmtId="0" fontId="0" fillId="0" borderId="0" xfId="0" applyAlignment="1">
      <alignment horizontal="right" vertical="center"/>
    </xf>
    <xf numFmtId="1" fontId="0" fillId="0" borderId="0" xfId="0" applyNumberFormat="1" applyAlignment="1">
      <alignment horizontal="right" vertical="center"/>
    </xf>
    <xf numFmtId="49" fontId="0" fillId="0" borderId="0" xfId="0" applyNumberFormat="1" applyAlignment="1">
      <alignment horizontal="left" vertical="center"/>
    </xf>
    <xf numFmtId="4" fontId="0" fillId="0" borderId="0" xfId="0" applyNumberFormat="1" applyAlignment="1">
      <alignment horizontal="right" vertical="center"/>
    </xf>
    <xf numFmtId="164" fontId="0" fillId="0" borderId="0" xfId="0" applyNumberFormat="1" applyAlignment="1">
      <alignment horizontal="right" vertical="center"/>
    </xf>
    <xf numFmtId="49" fontId="0" fillId="0" borderId="0" xfId="0" applyNumberFormat="1" applyAlignment="1">
      <alignment horizontal="center" vertical="center"/>
    </xf>
    <xf numFmtId="1" fontId="0" fillId="0" borderId="0" xfId="0" applyNumberFormat="1" applyAlignment="1">
      <alignment horizontal="left" vertical="center"/>
    </xf>
    <xf numFmtId="14" fontId="0" fillId="0" borderId="0" xfId="0" applyNumberFormat="1" applyAlignment="1">
      <alignment horizontal="right" vertical="center"/>
    </xf>
    <xf numFmtId="164" fontId="6" fillId="0" borderId="0" xfId="0" applyNumberFormat="1" applyFont="1" applyAlignment="1">
      <alignment horizontal="right" vertical="center"/>
    </xf>
    <xf numFmtId="0" fontId="15" fillId="0" borderId="0" xfId="0" applyFont="1"/>
    <xf numFmtId="0" fontId="15" fillId="0" borderId="0" xfId="0" applyFont="1" applyAlignment="1">
      <alignment horizontal="center"/>
    </xf>
    <xf numFmtId="0" fontId="15" fillId="0" borderId="0" xfId="0" applyFont="1" applyAlignment="1">
      <alignment horizontal="left"/>
    </xf>
    <xf numFmtId="165" fontId="15" fillId="0" borderId="0" xfId="1" applyNumberFormat="1" applyFont="1" applyProtection="1"/>
    <xf numFmtId="167" fontId="15" fillId="4" borderId="0" xfId="0" applyNumberFormat="1" applyFont="1" applyFill="1"/>
    <xf numFmtId="165" fontId="15" fillId="4" borderId="0" xfId="1" applyNumberFormat="1" applyFont="1" applyFill="1" applyProtection="1"/>
    <xf numFmtId="1" fontId="15" fillId="4" borderId="0" xfId="0" applyNumberFormat="1" applyFont="1" applyFill="1"/>
    <xf numFmtId="0" fontId="16" fillId="0" borderId="0" xfId="0" applyFont="1"/>
    <xf numFmtId="0" fontId="15" fillId="3" borderId="0" xfId="0" applyFont="1" applyFill="1"/>
    <xf numFmtId="0" fontId="15" fillId="3" borderId="0" xfId="0" applyFont="1" applyFill="1" applyAlignment="1">
      <alignment horizontal="center"/>
    </xf>
    <xf numFmtId="0" fontId="15" fillId="3" borderId="0" xfId="0" applyFont="1" applyFill="1" applyAlignment="1">
      <alignment horizontal="left"/>
    </xf>
    <xf numFmtId="0" fontId="16" fillId="4" borderId="0" xfId="0" applyFont="1" applyFill="1"/>
    <xf numFmtId="0" fontId="15" fillId="4" borderId="0" xfId="0" applyFont="1" applyFill="1" applyAlignment="1">
      <alignment horizontal="left"/>
    </xf>
    <xf numFmtId="0" fontId="15" fillId="4" borderId="0" xfId="0" applyFont="1" applyFill="1"/>
    <xf numFmtId="0" fontId="15" fillId="3" borderId="7" xfId="0" applyFont="1" applyFill="1" applyBorder="1"/>
    <xf numFmtId="0" fontId="15" fillId="3" borderId="8" xfId="0" applyFont="1" applyFill="1" applyBorder="1" applyAlignment="1">
      <alignment horizontal="center"/>
    </xf>
    <xf numFmtId="0" fontId="15" fillId="3" borderId="8" xfId="0" applyFont="1" applyFill="1" applyBorder="1"/>
    <xf numFmtId="0" fontId="15" fillId="3" borderId="9" xfId="0" applyFont="1" applyFill="1" applyBorder="1"/>
    <xf numFmtId="165" fontId="15" fillId="0" borderId="0" xfId="0" applyNumberFormat="1" applyFont="1"/>
    <xf numFmtId="0" fontId="15" fillId="3" borderId="2" xfId="0" applyFont="1" applyFill="1" applyBorder="1"/>
    <xf numFmtId="5" fontId="15" fillId="3" borderId="0" xfId="1" applyNumberFormat="1" applyFont="1" applyFill="1" applyBorder="1" applyProtection="1"/>
    <xf numFmtId="165" fontId="15" fillId="3" borderId="0" xfId="1" applyNumberFormat="1" applyFont="1" applyFill="1" applyBorder="1" applyProtection="1"/>
    <xf numFmtId="10" fontId="15" fillId="3" borderId="10" xfId="1" applyNumberFormat="1" applyFont="1" applyFill="1" applyBorder="1" applyProtection="1"/>
    <xf numFmtId="0" fontId="15" fillId="4" borderId="2" xfId="0" applyFont="1" applyFill="1" applyBorder="1"/>
    <xf numFmtId="166" fontId="17" fillId="4" borderId="13" xfId="0" applyNumberFormat="1" applyFont="1" applyFill="1" applyBorder="1"/>
    <xf numFmtId="166" fontId="17" fillId="4" borderId="4" xfId="0" applyNumberFormat="1" applyFont="1" applyFill="1" applyBorder="1"/>
    <xf numFmtId="166" fontId="17" fillId="4" borderId="6" xfId="0" applyNumberFormat="1" applyFont="1" applyFill="1" applyBorder="1"/>
    <xf numFmtId="165" fontId="17" fillId="0" borderId="0" xfId="0" applyNumberFormat="1" applyFont="1"/>
    <xf numFmtId="165" fontId="15" fillId="0" borderId="0" xfId="1" applyNumberFormat="1" applyFont="1" applyFill="1" applyProtection="1"/>
    <xf numFmtId="0" fontId="15" fillId="3" borderId="11" xfId="0" applyFont="1" applyFill="1" applyBorder="1"/>
    <xf numFmtId="0" fontId="15" fillId="3" borderId="1" xfId="0" applyFont="1" applyFill="1" applyBorder="1" applyAlignment="1">
      <alignment horizontal="center"/>
    </xf>
    <xf numFmtId="5" fontId="15" fillId="3" borderId="1" xfId="1" applyNumberFormat="1" applyFont="1" applyFill="1" applyBorder="1" applyProtection="1"/>
    <xf numFmtId="165" fontId="15" fillId="3" borderId="1" xfId="1" applyNumberFormat="1" applyFont="1" applyFill="1" applyBorder="1" applyProtection="1"/>
    <xf numFmtId="10" fontId="15" fillId="3" borderId="12" xfId="1" applyNumberFormat="1" applyFont="1" applyFill="1" applyBorder="1" applyProtection="1"/>
    <xf numFmtId="165" fontId="15" fillId="3" borderId="0" xfId="1" applyNumberFormat="1" applyFont="1" applyFill="1" applyAlignment="1" applyProtection="1">
      <alignment horizontal="left"/>
    </xf>
    <xf numFmtId="165" fontId="15" fillId="3" borderId="0" xfId="1" applyNumberFormat="1" applyFont="1" applyFill="1" applyBorder="1" applyAlignment="1" applyProtection="1">
      <alignment horizontal="left"/>
    </xf>
    <xf numFmtId="165" fontId="15" fillId="0" borderId="0" xfId="1" applyNumberFormat="1" applyFont="1" applyFill="1" applyBorder="1" applyAlignment="1" applyProtection="1">
      <alignment horizontal="left"/>
    </xf>
    <xf numFmtId="165" fontId="15" fillId="0" borderId="0" xfId="1" applyNumberFormat="1" applyFont="1" applyFill="1" applyAlignment="1" applyProtection="1">
      <alignment horizontal="left"/>
    </xf>
    <xf numFmtId="0" fontId="15" fillId="4" borderId="0" xfId="0" applyFont="1" applyFill="1" applyAlignment="1">
      <alignment horizontal="center"/>
    </xf>
    <xf numFmtId="165" fontId="15" fillId="4" borderId="0" xfId="1" applyNumberFormat="1" applyFont="1" applyFill="1" applyAlignment="1" applyProtection="1">
      <alignment horizontal="left"/>
    </xf>
    <xf numFmtId="0" fontId="20" fillId="4" borderId="0" xfId="0" applyFont="1" applyFill="1"/>
    <xf numFmtId="0" fontId="20" fillId="4" borderId="0" xfId="0" applyFont="1" applyFill="1" applyAlignment="1">
      <alignment horizontal="center"/>
    </xf>
    <xf numFmtId="0" fontId="16" fillId="5" borderId="0" xfId="0" applyFont="1" applyFill="1"/>
    <xf numFmtId="0" fontId="15" fillId="5" borderId="0" xfId="0" applyFont="1" applyFill="1"/>
    <xf numFmtId="165" fontId="15" fillId="5" borderId="0" xfId="1" applyNumberFormat="1" applyFont="1" applyFill="1" applyProtection="1"/>
    <xf numFmtId="0" fontId="15" fillId="4" borderId="11" xfId="0" applyFont="1" applyFill="1" applyBorder="1"/>
    <xf numFmtId="0" fontId="17" fillId="4" borderId="1" xfId="0" applyFont="1" applyFill="1" applyBorder="1"/>
    <xf numFmtId="6" fontId="17" fillId="4" borderId="1" xfId="0" applyNumberFormat="1" applyFont="1" applyFill="1" applyBorder="1"/>
    <xf numFmtId="0" fontId="15" fillId="0" borderId="0" xfId="0" applyFont="1" applyAlignment="1">
      <alignment horizontal="right"/>
    </xf>
    <xf numFmtId="165" fontId="15" fillId="0" borderId="0" xfId="1" applyNumberFormat="1" applyFont="1" applyAlignment="1" applyProtection="1">
      <alignment horizontal="right"/>
    </xf>
    <xf numFmtId="9" fontId="15" fillId="0" borderId="0" xfId="2" applyFont="1" applyProtection="1"/>
    <xf numFmtId="0" fontId="15" fillId="5" borderId="0" xfId="0" applyFont="1" applyFill="1" applyAlignment="1">
      <alignment horizontal="center"/>
    </xf>
    <xf numFmtId="0" fontId="15" fillId="5" borderId="0" xfId="0" applyFont="1" applyFill="1" applyAlignment="1">
      <alignment horizontal="left"/>
    </xf>
    <xf numFmtId="167" fontId="15" fillId="0" borderId="0" xfId="0" applyNumberFormat="1" applyFont="1"/>
    <xf numFmtId="1" fontId="15" fillId="0" borderId="0" xfId="0" applyNumberFormat="1" applyFont="1"/>
    <xf numFmtId="168" fontId="15" fillId="3" borderId="0" xfId="1" applyNumberFormat="1" applyFont="1" applyFill="1" applyBorder="1" applyProtection="1"/>
    <xf numFmtId="168" fontId="15" fillId="3" borderId="1" xfId="1" applyNumberFormat="1" applyFont="1" applyFill="1" applyBorder="1" applyProtection="1"/>
    <xf numFmtId="0" fontId="21" fillId="0" borderId="0" xfId="0" applyFont="1"/>
    <xf numFmtId="0" fontId="16" fillId="3" borderId="14" xfId="0" applyFont="1" applyFill="1" applyBorder="1"/>
    <xf numFmtId="0" fontId="15" fillId="3" borderId="15" xfId="0" applyFont="1" applyFill="1" applyBorder="1"/>
    <xf numFmtId="0" fontId="15" fillId="3" borderId="15" xfId="0" applyFont="1" applyFill="1" applyBorder="1" applyAlignment="1">
      <alignment horizontal="center"/>
    </xf>
    <xf numFmtId="0" fontId="15" fillId="3" borderId="15" xfId="0" applyFont="1" applyFill="1" applyBorder="1" applyAlignment="1">
      <alignment horizontal="left"/>
    </xf>
    <xf numFmtId="0" fontId="15" fillId="3" borderId="16" xfId="0" applyFont="1" applyFill="1" applyBorder="1" applyAlignment="1">
      <alignment horizontal="left"/>
    </xf>
    <xf numFmtId="0" fontId="15" fillId="3" borderId="17" xfId="0" applyFont="1" applyFill="1" applyBorder="1"/>
    <xf numFmtId="0" fontId="15" fillId="3" borderId="18" xfId="0" applyFont="1" applyFill="1" applyBorder="1" applyAlignment="1">
      <alignment horizontal="left"/>
    </xf>
    <xf numFmtId="165" fontId="15" fillId="3" borderId="0" xfId="0" applyNumberFormat="1" applyFont="1" applyFill="1"/>
    <xf numFmtId="9" fontId="15" fillId="3" borderId="0" xfId="0" applyNumberFormat="1" applyFont="1" applyFill="1" applyAlignment="1">
      <alignment horizontal="left"/>
    </xf>
    <xf numFmtId="10" fontId="15" fillId="3" borderId="18" xfId="0" applyNumberFormat="1" applyFont="1" applyFill="1" applyBorder="1" applyAlignment="1">
      <alignment horizontal="left"/>
    </xf>
    <xf numFmtId="9" fontId="15" fillId="3" borderId="0" xfId="2" applyFont="1" applyFill="1" applyBorder="1" applyProtection="1"/>
    <xf numFmtId="9" fontId="15" fillId="3" borderId="18" xfId="0" applyNumberFormat="1" applyFont="1" applyFill="1" applyBorder="1" applyAlignment="1">
      <alignment horizontal="left"/>
    </xf>
    <xf numFmtId="0" fontId="15" fillId="3" borderId="20" xfId="0" applyFont="1" applyFill="1" applyBorder="1"/>
    <xf numFmtId="0" fontId="15" fillId="3" borderId="21" xfId="0" applyFont="1" applyFill="1" applyBorder="1"/>
    <xf numFmtId="0" fontId="15" fillId="3" borderId="20" xfId="0" applyFont="1" applyFill="1" applyBorder="1" applyAlignment="1">
      <alignment horizontal="center"/>
    </xf>
    <xf numFmtId="0" fontId="15" fillId="3" borderId="20" xfId="0" applyFont="1" applyFill="1" applyBorder="1" applyAlignment="1">
      <alignment horizontal="left"/>
    </xf>
    <xf numFmtId="0" fontId="15" fillId="3" borderId="22" xfId="0" applyFont="1" applyFill="1" applyBorder="1" applyAlignment="1">
      <alignment horizontal="left"/>
    </xf>
    <xf numFmtId="10" fontId="15" fillId="3" borderId="16" xfId="0" applyNumberFormat="1" applyFont="1" applyFill="1" applyBorder="1"/>
    <xf numFmtId="0" fontId="15" fillId="3" borderId="14" xfId="0" applyFont="1" applyFill="1" applyBorder="1"/>
    <xf numFmtId="0" fontId="16" fillId="3" borderId="15" xfId="0" applyFont="1" applyFill="1" applyBorder="1"/>
    <xf numFmtId="0" fontId="15" fillId="3" borderId="16" xfId="0" applyFont="1" applyFill="1" applyBorder="1"/>
    <xf numFmtId="165" fontId="15" fillId="3" borderId="17" xfId="0" applyNumberFormat="1" applyFont="1" applyFill="1" applyBorder="1"/>
    <xf numFmtId="165" fontId="15" fillId="3" borderId="17" xfId="1" applyNumberFormat="1" applyFont="1" applyFill="1" applyBorder="1" applyProtection="1"/>
    <xf numFmtId="0" fontId="15" fillId="3" borderId="19" xfId="0" applyFont="1" applyFill="1" applyBorder="1"/>
    <xf numFmtId="0" fontId="15" fillId="3" borderId="14" xfId="0" applyFont="1" applyFill="1" applyBorder="1" applyAlignment="1">
      <alignment horizontal="center"/>
    </xf>
    <xf numFmtId="0" fontId="16" fillId="3" borderId="15" xfId="0" applyFont="1" applyFill="1" applyBorder="1" applyAlignment="1">
      <alignment horizontal="center"/>
    </xf>
    <xf numFmtId="0" fontId="16" fillId="4" borderId="14" xfId="0" applyFont="1" applyFill="1" applyBorder="1"/>
    <xf numFmtId="0" fontId="15" fillId="4" borderId="15" xfId="0" applyFont="1" applyFill="1" applyBorder="1"/>
    <xf numFmtId="165" fontId="15" fillId="4" borderId="15" xfId="1" applyNumberFormat="1" applyFont="1" applyFill="1" applyBorder="1" applyProtection="1"/>
    <xf numFmtId="0" fontId="15" fillId="4" borderId="16" xfId="0" applyFont="1" applyFill="1" applyBorder="1"/>
    <xf numFmtId="0" fontId="15" fillId="4" borderId="17" xfId="0" applyFont="1" applyFill="1" applyBorder="1"/>
    <xf numFmtId="0" fontId="15" fillId="4" borderId="18" xfId="0" applyFont="1" applyFill="1" applyBorder="1"/>
    <xf numFmtId="0" fontId="15" fillId="4" borderId="17" xfId="0" applyFont="1" applyFill="1" applyBorder="1" applyAlignment="1">
      <alignment horizontal="left"/>
    </xf>
    <xf numFmtId="165" fontId="15" fillId="4" borderId="0" xfId="0" applyNumberFormat="1" applyFont="1" applyFill="1"/>
    <xf numFmtId="165" fontId="15" fillId="4" borderId="18" xfId="0" applyNumberFormat="1" applyFont="1" applyFill="1" applyBorder="1"/>
    <xf numFmtId="0" fontId="15" fillId="4" borderId="19" xfId="0" applyFont="1" applyFill="1" applyBorder="1" applyAlignment="1">
      <alignment horizontal="left"/>
    </xf>
    <xf numFmtId="165" fontId="15" fillId="4" borderId="20" xfId="0" applyNumberFormat="1" applyFont="1" applyFill="1" applyBorder="1"/>
    <xf numFmtId="165" fontId="15" fillId="4" borderId="22" xfId="0" applyNumberFormat="1" applyFont="1" applyFill="1" applyBorder="1"/>
    <xf numFmtId="0" fontId="12" fillId="2" borderId="17" xfId="0" applyFont="1" applyFill="1" applyBorder="1" applyAlignment="1">
      <alignment horizontal="left" vertical="center" indent="2"/>
    </xf>
    <xf numFmtId="10" fontId="12" fillId="2" borderId="18" xfId="0" applyNumberFormat="1" applyFont="1" applyFill="1" applyBorder="1" applyAlignment="1">
      <alignment horizontal="left" vertical="center" indent="1"/>
    </xf>
    <xf numFmtId="0" fontId="15" fillId="0" borderId="0" xfId="0" applyFont="1" applyAlignment="1">
      <alignment horizontal="left" vertical="center" indent="2"/>
    </xf>
    <xf numFmtId="0" fontId="15" fillId="4" borderId="0" xfId="0" applyFont="1" applyFill="1" applyAlignment="1">
      <alignment horizontal="left" vertical="center" indent="2"/>
    </xf>
    <xf numFmtId="165" fontId="15" fillId="4" borderId="0" xfId="1" applyNumberFormat="1" applyFont="1" applyFill="1" applyAlignment="1" applyProtection="1">
      <alignment horizontal="left" vertical="center" indent="2"/>
    </xf>
    <xf numFmtId="0" fontId="15" fillId="4" borderId="2" xfId="0" applyFont="1" applyFill="1" applyBorder="1" applyAlignment="1">
      <alignment horizontal="left" vertical="center" indent="2"/>
    </xf>
    <xf numFmtId="0" fontId="15" fillId="4" borderId="14" xfId="0" applyFont="1" applyFill="1" applyBorder="1"/>
    <xf numFmtId="0" fontId="17" fillId="4" borderId="0" xfId="0" applyFont="1" applyFill="1"/>
    <xf numFmtId="0" fontId="17" fillId="4" borderId="19" xfId="0" applyFont="1" applyFill="1" applyBorder="1"/>
    <xf numFmtId="165" fontId="17" fillId="4" borderId="20" xfId="0" applyNumberFormat="1" applyFont="1" applyFill="1" applyBorder="1"/>
    <xf numFmtId="10" fontId="17" fillId="4" borderId="22" xfId="0" applyNumberFormat="1" applyFont="1" applyFill="1" applyBorder="1"/>
    <xf numFmtId="0" fontId="22" fillId="0" borderId="0" xfId="0" applyFont="1"/>
    <xf numFmtId="0" fontId="15" fillId="4" borderId="25" xfId="0" applyFont="1" applyFill="1" applyBorder="1"/>
    <xf numFmtId="166" fontId="17" fillId="4" borderId="26" xfId="0" applyNumberFormat="1" applyFont="1" applyFill="1" applyBorder="1"/>
    <xf numFmtId="166" fontId="17" fillId="4" borderId="27" xfId="0" applyNumberFormat="1" applyFont="1" applyFill="1" applyBorder="1"/>
    <xf numFmtId="0" fontId="15" fillId="4" borderId="28" xfId="0" applyFont="1" applyFill="1" applyBorder="1"/>
    <xf numFmtId="166" fontId="17" fillId="4" borderId="0" xfId="0" applyNumberFormat="1" applyFont="1" applyFill="1"/>
    <xf numFmtId="6" fontId="17" fillId="4" borderId="0" xfId="0" applyNumberFormat="1" applyFont="1" applyFill="1"/>
    <xf numFmtId="0" fontId="17" fillId="4" borderId="0" xfId="0" applyFont="1" applyFill="1" applyAlignment="1">
      <alignment horizontal="left" vertical="center" indent="2"/>
    </xf>
    <xf numFmtId="6" fontId="17" fillId="4" borderId="0" xfId="0" applyNumberFormat="1" applyFont="1" applyFill="1" applyAlignment="1">
      <alignment horizontal="left" vertical="center" indent="2"/>
    </xf>
    <xf numFmtId="0" fontId="15" fillId="4" borderId="18" xfId="0" applyFont="1" applyFill="1" applyBorder="1" applyAlignment="1">
      <alignment horizontal="left" vertical="center" indent="2"/>
    </xf>
    <xf numFmtId="0" fontId="15" fillId="4" borderId="23" xfId="0" applyFont="1" applyFill="1" applyBorder="1"/>
    <xf numFmtId="0" fontId="15" fillId="4" borderId="19" xfId="0" applyFont="1" applyFill="1" applyBorder="1" applyAlignment="1">
      <alignment horizontal="right"/>
    </xf>
    <xf numFmtId="165" fontId="15" fillId="4" borderId="20" xfId="1" applyNumberFormat="1" applyFont="1" applyFill="1" applyBorder="1" applyAlignment="1" applyProtection="1">
      <alignment horizontal="right"/>
    </xf>
    <xf numFmtId="0" fontId="15" fillId="4" borderId="20" xfId="0" applyFont="1" applyFill="1" applyBorder="1"/>
    <xf numFmtId="0" fontId="17" fillId="4" borderId="20" xfId="0" applyFont="1" applyFill="1" applyBorder="1"/>
    <xf numFmtId="165" fontId="15" fillId="4" borderId="20" xfId="1" applyNumberFormat="1" applyFont="1" applyFill="1" applyBorder="1" applyProtection="1"/>
    <xf numFmtId="0" fontId="15" fillId="4" borderId="22" xfId="0" applyFont="1" applyFill="1" applyBorder="1"/>
    <xf numFmtId="165" fontId="15" fillId="4" borderId="17" xfId="0" applyNumberFormat="1" applyFont="1" applyFill="1" applyBorder="1" applyAlignment="1">
      <alignment horizontal="left"/>
    </xf>
    <xf numFmtId="165" fontId="15" fillId="4" borderId="0" xfId="1" applyNumberFormat="1" applyFont="1" applyFill="1" applyBorder="1" applyProtection="1"/>
    <xf numFmtId="165" fontId="15" fillId="4" borderId="18" xfId="1" applyNumberFormat="1" applyFont="1" applyFill="1" applyBorder="1" applyProtection="1"/>
    <xf numFmtId="167" fontId="15" fillId="4" borderId="15" xfId="0" applyNumberFormat="1" applyFont="1" applyFill="1" applyBorder="1"/>
    <xf numFmtId="1" fontId="15" fillId="4" borderId="15" xfId="0" applyNumberFormat="1" applyFont="1" applyFill="1" applyBorder="1"/>
    <xf numFmtId="1" fontId="15" fillId="4" borderId="16" xfId="0" applyNumberFormat="1" applyFont="1" applyFill="1" applyBorder="1"/>
    <xf numFmtId="1" fontId="15" fillId="4" borderId="18" xfId="0" applyNumberFormat="1" applyFont="1" applyFill="1" applyBorder="1"/>
    <xf numFmtId="165" fontId="17" fillId="4" borderId="0" xfId="1" applyNumberFormat="1" applyFont="1" applyFill="1" applyBorder="1" applyProtection="1"/>
    <xf numFmtId="167" fontId="15" fillId="4" borderId="0" xfId="0" applyNumberFormat="1" applyFont="1" applyFill="1" applyAlignment="1">
      <alignment horizontal="left" vertical="center" indent="2"/>
    </xf>
    <xf numFmtId="165" fontId="15" fillId="4" borderId="0" xfId="1" applyNumberFormat="1" applyFont="1" applyFill="1" applyBorder="1" applyAlignment="1" applyProtection="1">
      <alignment horizontal="left" vertical="center" indent="2"/>
    </xf>
    <xf numFmtId="1" fontId="15" fillId="4" borderId="0" xfId="0" applyNumberFormat="1" applyFont="1" applyFill="1" applyAlignment="1">
      <alignment horizontal="left" vertical="center" indent="2"/>
    </xf>
    <xf numFmtId="1" fontId="15" fillId="4" borderId="18" xfId="0" applyNumberFormat="1" applyFont="1" applyFill="1" applyBorder="1" applyAlignment="1">
      <alignment horizontal="left" vertical="center" indent="2"/>
    </xf>
    <xf numFmtId="167" fontId="15" fillId="4" borderId="20" xfId="0" applyNumberFormat="1" applyFont="1" applyFill="1" applyBorder="1"/>
    <xf numFmtId="1" fontId="15" fillId="4" borderId="20" xfId="0" applyNumberFormat="1" applyFont="1" applyFill="1" applyBorder="1"/>
    <xf numFmtId="1" fontId="15" fillId="4" borderId="22" xfId="0" applyNumberFormat="1" applyFont="1" applyFill="1" applyBorder="1"/>
    <xf numFmtId="168" fontId="15" fillId="4" borderId="18" xfId="0" applyNumberFormat="1" applyFont="1" applyFill="1" applyBorder="1"/>
    <xf numFmtId="165" fontId="15" fillId="4" borderId="22" xfId="1" applyNumberFormat="1" applyFont="1" applyFill="1" applyBorder="1" applyProtection="1"/>
    <xf numFmtId="165" fontId="17" fillId="4" borderId="17" xfId="1" applyNumberFormat="1" applyFont="1" applyFill="1" applyBorder="1" applyProtection="1"/>
    <xf numFmtId="169" fontId="15" fillId="4" borderId="0" xfId="0" applyNumberFormat="1" applyFont="1" applyFill="1" applyAlignment="1">
      <alignment horizontal="left"/>
    </xf>
    <xf numFmtId="165" fontId="15" fillId="4" borderId="17" xfId="1" applyNumberFormat="1" applyFont="1" applyFill="1" applyBorder="1" applyProtection="1"/>
    <xf numFmtId="165" fontId="17" fillId="4" borderId="18" xfId="1" applyNumberFormat="1" applyFont="1" applyFill="1" applyBorder="1" applyProtection="1"/>
    <xf numFmtId="168" fontId="12" fillId="2" borderId="0" xfId="1" applyNumberFormat="1" applyFont="1" applyFill="1" applyBorder="1" applyAlignment="1" applyProtection="1">
      <alignment vertical="center"/>
    </xf>
    <xf numFmtId="1" fontId="23" fillId="0" borderId="0" xfId="0" applyNumberFormat="1" applyFont="1" applyAlignment="1">
      <alignment horizontal="right" vertical="center"/>
    </xf>
    <xf numFmtId="49" fontId="23" fillId="0" borderId="0" xfId="0" applyNumberFormat="1" applyFont="1" applyAlignment="1">
      <alignment horizontal="left" vertical="center"/>
    </xf>
    <xf numFmtId="4" fontId="23" fillId="0" borderId="0" xfId="0" applyNumberFormat="1" applyFont="1" applyAlignment="1">
      <alignment horizontal="right" vertical="center"/>
    </xf>
    <xf numFmtId="164" fontId="23" fillId="0" borderId="0" xfId="0" applyNumberFormat="1" applyFont="1" applyAlignment="1">
      <alignment horizontal="right" vertical="center"/>
    </xf>
    <xf numFmtId="49" fontId="23" fillId="0" borderId="0" xfId="0" applyNumberFormat="1"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right" vertical="center"/>
    </xf>
    <xf numFmtId="1" fontId="23" fillId="0" borderId="0" xfId="0" applyNumberFormat="1" applyFont="1" applyAlignment="1">
      <alignment horizontal="left" vertical="center"/>
    </xf>
    <xf numFmtId="14" fontId="23" fillId="0" borderId="0" xfId="0" applyNumberFormat="1" applyFont="1" applyAlignment="1">
      <alignment horizontal="right" vertical="center"/>
    </xf>
    <xf numFmtId="0" fontId="5" fillId="0" borderId="0" xfId="0" applyFont="1"/>
    <xf numFmtId="0" fontId="24" fillId="0" borderId="0" xfId="0" applyFont="1" applyAlignment="1">
      <alignment horizontal="left" vertical="center"/>
    </xf>
    <xf numFmtId="164" fontId="24" fillId="0" borderId="0" xfId="0" applyNumberFormat="1" applyFont="1" applyAlignment="1">
      <alignment horizontal="right" vertical="center"/>
    </xf>
    <xf numFmtId="164" fontId="25" fillId="0" borderId="0" xfId="0" applyNumberFormat="1" applyFont="1" applyAlignment="1">
      <alignment horizontal="right" vertical="center"/>
    </xf>
    <xf numFmtId="0" fontId="10" fillId="0" borderId="0" xfId="0" applyFont="1" applyAlignment="1">
      <alignment horizontal="left" vertical="center"/>
    </xf>
    <xf numFmtId="0" fontId="26" fillId="4" borderId="0" xfId="0" applyFont="1" applyFill="1" applyAlignment="1">
      <alignment horizontal="left" vertical="center" indent="2"/>
    </xf>
    <xf numFmtId="0" fontId="19" fillId="2" borderId="0" xfId="0" applyFont="1" applyFill="1" applyProtection="1">
      <protection locked="0"/>
    </xf>
    <xf numFmtId="0" fontId="15" fillId="4" borderId="35" xfId="0" applyFont="1" applyFill="1" applyBorder="1"/>
    <xf numFmtId="0" fontId="15" fillId="4" borderId="36" xfId="0" applyFont="1" applyFill="1" applyBorder="1"/>
    <xf numFmtId="0" fontId="15" fillId="4" borderId="44" xfId="0" applyFont="1" applyFill="1" applyBorder="1"/>
    <xf numFmtId="0" fontId="15" fillId="4" borderId="45" xfId="0" applyFont="1" applyFill="1" applyBorder="1"/>
    <xf numFmtId="0" fontId="15" fillId="4" borderId="38" xfId="0" applyFont="1" applyFill="1" applyBorder="1"/>
    <xf numFmtId="0" fontId="15" fillId="4" borderId="39" xfId="0" applyFont="1" applyFill="1" applyBorder="1"/>
    <xf numFmtId="0" fontId="15" fillId="4" borderId="41" xfId="0" applyFont="1" applyFill="1" applyBorder="1"/>
    <xf numFmtId="0" fontId="15" fillId="4" borderId="37" xfId="0" applyFont="1" applyFill="1" applyBorder="1"/>
    <xf numFmtId="0" fontId="15" fillId="4" borderId="40" xfId="0" applyFont="1" applyFill="1" applyBorder="1"/>
    <xf numFmtId="1" fontId="15" fillId="4" borderId="62" xfId="0" applyNumberFormat="1" applyFont="1" applyFill="1" applyBorder="1"/>
    <xf numFmtId="0" fontId="15" fillId="4" borderId="64" xfId="0" applyFont="1" applyFill="1" applyBorder="1"/>
    <xf numFmtId="0" fontId="15" fillId="4" borderId="61" xfId="0" applyFont="1" applyFill="1" applyBorder="1" applyAlignment="1">
      <alignment horizontal="center"/>
    </xf>
    <xf numFmtId="0" fontId="15" fillId="4" borderId="8" xfId="0" applyFont="1" applyFill="1" applyBorder="1"/>
    <xf numFmtId="0" fontId="15" fillId="4" borderId="7" xfId="0" applyFont="1" applyFill="1" applyBorder="1"/>
    <xf numFmtId="0" fontId="15" fillId="4" borderId="63" xfId="0" applyFont="1" applyFill="1" applyBorder="1"/>
    <xf numFmtId="0" fontId="15" fillId="4" borderId="9" xfId="0" applyFont="1" applyFill="1" applyBorder="1"/>
    <xf numFmtId="14" fontId="15" fillId="4" borderId="0" xfId="0" applyNumberFormat="1" applyFont="1" applyFill="1"/>
    <xf numFmtId="5" fontId="15" fillId="4" borderId="0" xfId="1" applyNumberFormat="1" applyFont="1" applyFill="1" applyBorder="1"/>
    <xf numFmtId="165" fontId="15" fillId="4" borderId="0" xfId="1" applyNumberFormat="1" applyFont="1" applyFill="1" applyBorder="1"/>
    <xf numFmtId="167" fontId="15" fillId="4" borderId="18" xfId="0" applyNumberFormat="1" applyFont="1" applyFill="1" applyBorder="1"/>
    <xf numFmtId="1" fontId="15" fillId="4" borderId="10" xfId="0" applyNumberFormat="1" applyFont="1" applyFill="1" applyBorder="1"/>
    <xf numFmtId="164" fontId="20" fillId="4" borderId="18" xfId="0" applyNumberFormat="1" applyFont="1" applyFill="1" applyBorder="1"/>
    <xf numFmtId="5" fontId="15" fillId="4" borderId="0" xfId="0" applyNumberFormat="1" applyFont="1" applyFill="1"/>
    <xf numFmtId="1" fontId="15" fillId="4" borderId="0" xfId="1" applyNumberFormat="1" applyFont="1" applyFill="1" applyBorder="1"/>
    <xf numFmtId="1" fontId="20" fillId="4" borderId="18" xfId="0" applyNumberFormat="1" applyFont="1" applyFill="1" applyBorder="1"/>
    <xf numFmtId="5" fontId="20" fillId="4" borderId="0" xfId="0" applyNumberFormat="1" applyFont="1" applyFill="1"/>
    <xf numFmtId="1" fontId="20" fillId="4" borderId="0" xfId="0" applyNumberFormat="1" applyFont="1" applyFill="1"/>
    <xf numFmtId="0" fontId="15" fillId="4" borderId="19" xfId="0" applyFont="1" applyFill="1" applyBorder="1"/>
    <xf numFmtId="165" fontId="20" fillId="4" borderId="20" xfId="1" applyNumberFormat="1" applyFont="1" applyFill="1" applyBorder="1"/>
    <xf numFmtId="9" fontId="15" fillId="4" borderId="0" xfId="2" applyFont="1" applyFill="1"/>
    <xf numFmtId="0" fontId="15" fillId="4" borderId="35" xfId="0" applyFont="1" applyFill="1" applyBorder="1" applyAlignment="1">
      <alignment horizontal="right"/>
    </xf>
    <xf numFmtId="0" fontId="15" fillId="4" borderId="36" xfId="0" applyFont="1" applyFill="1" applyBorder="1" applyAlignment="1">
      <alignment horizontal="right"/>
    </xf>
    <xf numFmtId="0" fontId="15" fillId="4" borderId="47" xfId="0" applyFont="1" applyFill="1" applyBorder="1" applyAlignment="1">
      <alignment horizontal="right"/>
    </xf>
    <xf numFmtId="0" fontId="15" fillId="4" borderId="37" xfId="0" applyFont="1" applyFill="1" applyBorder="1" applyAlignment="1">
      <alignment horizontal="right"/>
    </xf>
    <xf numFmtId="0" fontId="15" fillId="4" borderId="36" xfId="0" applyFont="1" applyFill="1" applyBorder="1" applyAlignment="1">
      <alignment horizontal="center"/>
    </xf>
    <xf numFmtId="0" fontId="15" fillId="4" borderId="44" xfId="0" applyFont="1" applyFill="1" applyBorder="1" applyAlignment="1">
      <alignment horizontal="center"/>
    </xf>
    <xf numFmtId="2" fontId="15" fillId="4" borderId="38" xfId="0" applyNumberFormat="1" applyFont="1" applyFill="1" applyBorder="1"/>
    <xf numFmtId="165" fontId="15" fillId="4" borderId="14" xfId="0" applyNumberFormat="1" applyFont="1" applyFill="1" applyBorder="1" applyAlignment="1">
      <alignment horizontal="right"/>
    </xf>
    <xf numFmtId="165" fontId="15" fillId="4" borderId="15" xfId="0" applyNumberFormat="1" applyFont="1" applyFill="1" applyBorder="1" applyAlignment="1">
      <alignment horizontal="right"/>
    </xf>
    <xf numFmtId="14" fontId="15" fillId="4" borderId="16" xfId="0" applyNumberFormat="1" applyFont="1" applyFill="1" applyBorder="1" applyAlignment="1">
      <alignment horizontal="right"/>
    </xf>
    <xf numFmtId="2" fontId="15" fillId="4" borderId="42" xfId="0" applyNumberFormat="1" applyFont="1" applyFill="1" applyBorder="1"/>
    <xf numFmtId="165" fontId="15" fillId="4" borderId="17" xfId="0" applyNumberFormat="1" applyFont="1" applyFill="1" applyBorder="1" applyAlignment="1">
      <alignment horizontal="right"/>
    </xf>
    <xf numFmtId="14" fontId="15" fillId="4" borderId="18" xfId="0" applyNumberFormat="1" applyFont="1" applyFill="1" applyBorder="1" applyAlignment="1">
      <alignment horizontal="right"/>
    </xf>
    <xf numFmtId="2" fontId="15" fillId="4" borderId="43" xfId="0" applyNumberFormat="1" applyFont="1" applyFill="1" applyBorder="1"/>
    <xf numFmtId="165" fontId="15" fillId="4" borderId="29" xfId="0" applyNumberFormat="1" applyFont="1" applyFill="1" applyBorder="1" applyAlignment="1">
      <alignment horizontal="right"/>
    </xf>
    <xf numFmtId="165" fontId="15" fillId="4" borderId="5" xfId="0" applyNumberFormat="1" applyFont="1" applyFill="1" applyBorder="1" applyAlignment="1">
      <alignment horizontal="right"/>
    </xf>
    <xf numFmtId="14" fontId="15" fillId="4" borderId="31" xfId="0" applyNumberFormat="1" applyFont="1" applyFill="1" applyBorder="1" applyAlignment="1">
      <alignment horizontal="right"/>
    </xf>
    <xf numFmtId="165" fontId="15" fillId="4" borderId="19" xfId="0" applyNumberFormat="1" applyFont="1" applyFill="1" applyBorder="1" applyAlignment="1">
      <alignment horizontal="right"/>
    </xf>
    <xf numFmtId="165" fontId="15" fillId="4" borderId="20" xfId="0" applyNumberFormat="1" applyFont="1" applyFill="1" applyBorder="1" applyAlignment="1">
      <alignment horizontal="right"/>
    </xf>
    <xf numFmtId="14" fontId="15" fillId="4" borderId="22" xfId="0" applyNumberFormat="1" applyFont="1" applyFill="1" applyBorder="1" applyAlignment="1">
      <alignment horizontal="right"/>
    </xf>
    <xf numFmtId="0" fontId="15" fillId="4" borderId="42" xfId="0" applyFont="1" applyFill="1" applyBorder="1"/>
    <xf numFmtId="0" fontId="15" fillId="4" borderId="43" xfId="0" applyFont="1" applyFill="1" applyBorder="1"/>
    <xf numFmtId="0" fontId="15" fillId="0" borderId="0" xfId="0" applyFont="1" applyAlignment="1">
      <alignment horizontal="right" vertical="center" indent="2"/>
    </xf>
    <xf numFmtId="168" fontId="15" fillId="0" borderId="0" xfId="0" applyNumberFormat="1" applyFont="1"/>
    <xf numFmtId="0" fontId="27" fillId="0" borderId="0" xfId="0" applyFont="1"/>
    <xf numFmtId="0" fontId="27" fillId="4" borderId="19" xfId="0" applyFont="1" applyFill="1" applyBorder="1"/>
    <xf numFmtId="0" fontId="27" fillId="4" borderId="20" xfId="0" applyFont="1" applyFill="1" applyBorder="1"/>
    <xf numFmtId="0" fontId="15" fillId="0" borderId="8" xfId="0" applyFont="1" applyBorder="1"/>
    <xf numFmtId="0" fontId="15" fillId="0" borderId="8" xfId="0" applyFont="1" applyBorder="1" applyAlignment="1">
      <alignment horizontal="center"/>
    </xf>
    <xf numFmtId="0" fontId="15" fillId="0" borderId="14" xfId="0" applyFont="1" applyBorder="1"/>
    <xf numFmtId="168" fontId="15" fillId="0" borderId="15" xfId="0" applyNumberFormat="1" applyFont="1" applyBorder="1"/>
    <xf numFmtId="0" fontId="15" fillId="0" borderId="15" xfId="0" applyFont="1" applyBorder="1"/>
    <xf numFmtId="0" fontId="20" fillId="0" borderId="15" xfId="0" applyFont="1" applyBorder="1" applyAlignment="1">
      <alignment horizontal="center"/>
    </xf>
    <xf numFmtId="0" fontId="15" fillId="0" borderId="16" xfId="0" applyFont="1" applyBorder="1" applyAlignment="1">
      <alignment horizontal="center"/>
    </xf>
    <xf numFmtId="168" fontId="27" fillId="0" borderId="0" xfId="0" applyNumberFormat="1" applyFont="1"/>
    <xf numFmtId="0" fontId="15" fillId="0" borderId="63" xfId="0" applyFont="1" applyBorder="1" applyAlignment="1">
      <alignment horizontal="center"/>
    </xf>
    <xf numFmtId="0" fontId="27" fillId="0" borderId="17" xfId="0" applyFont="1" applyBorder="1" applyAlignment="1">
      <alignment horizontal="left"/>
    </xf>
    <xf numFmtId="168" fontId="15" fillId="0" borderId="0" xfId="3" applyNumberFormat="1" applyFont="1" applyBorder="1"/>
    <xf numFmtId="1" fontId="15" fillId="0" borderId="18" xfId="3" applyNumberFormat="1" applyFont="1" applyBorder="1"/>
    <xf numFmtId="0" fontId="27" fillId="0" borderId="17" xfId="0" applyFont="1" applyBorder="1"/>
    <xf numFmtId="0" fontId="15" fillId="0" borderId="18" xfId="0" applyFont="1" applyBorder="1"/>
    <xf numFmtId="0" fontId="15" fillId="0" borderId="17" xfId="0" applyFont="1" applyBorder="1"/>
    <xf numFmtId="0" fontId="27" fillId="0" borderId="19" xfId="0" applyFont="1" applyBorder="1" applyAlignment="1">
      <alignment horizontal="left"/>
    </xf>
    <xf numFmtId="0" fontId="15" fillId="0" borderId="20" xfId="0" applyFont="1" applyBorder="1"/>
    <xf numFmtId="0" fontId="15" fillId="0" borderId="20" xfId="0" applyFont="1" applyBorder="1" applyAlignment="1">
      <alignment horizontal="center"/>
    </xf>
    <xf numFmtId="0" fontId="15" fillId="0" borderId="22" xfId="0" applyFont="1" applyBorder="1"/>
    <xf numFmtId="168" fontId="27" fillId="0" borderId="15" xfId="0" applyNumberFormat="1" applyFont="1" applyBorder="1"/>
    <xf numFmtId="0" fontId="27" fillId="0" borderId="15" xfId="0" applyFont="1" applyBorder="1"/>
    <xf numFmtId="0" fontId="15" fillId="0" borderId="16" xfId="0" applyFont="1" applyBorder="1"/>
    <xf numFmtId="0" fontId="27" fillId="0" borderId="18" xfId="0" applyFont="1" applyBorder="1"/>
    <xf numFmtId="0" fontId="27" fillId="0" borderId="16" xfId="0" applyFont="1" applyBorder="1"/>
    <xf numFmtId="0" fontId="27" fillId="0" borderId="14" xfId="0" applyFont="1" applyBorder="1" applyAlignment="1">
      <alignment horizontal="left"/>
    </xf>
    <xf numFmtId="0" fontId="15" fillId="0" borderId="65" xfId="0" applyFont="1" applyBorder="1"/>
    <xf numFmtId="1" fontId="15" fillId="0" borderId="18" xfId="0" applyNumberFormat="1" applyFont="1" applyBorder="1"/>
    <xf numFmtId="0" fontId="15" fillId="0" borderId="19" xfId="0" applyFont="1" applyBorder="1"/>
    <xf numFmtId="0" fontId="15" fillId="0" borderId="66" xfId="0" applyFont="1" applyBorder="1"/>
    <xf numFmtId="0" fontId="15" fillId="0" borderId="67" xfId="0" applyFont="1" applyBorder="1" applyAlignment="1">
      <alignment horizontal="center"/>
    </xf>
    <xf numFmtId="0" fontId="15" fillId="0" borderId="68" xfId="0" applyFont="1" applyBorder="1" applyAlignment="1">
      <alignment horizontal="center"/>
    </xf>
    <xf numFmtId="0" fontId="15" fillId="0" borderId="69" xfId="0" applyFont="1" applyBorder="1"/>
    <xf numFmtId="0" fontId="20" fillId="0" borderId="70" xfId="0" applyFont="1" applyBorder="1" applyAlignment="1">
      <alignment horizontal="center"/>
    </xf>
    <xf numFmtId="0" fontId="15" fillId="0" borderId="71" xfId="0" applyFont="1" applyBorder="1" applyAlignment="1">
      <alignment horizontal="center"/>
    </xf>
    <xf numFmtId="168" fontId="27" fillId="0" borderId="14" xfId="0" applyNumberFormat="1" applyFont="1" applyBorder="1"/>
    <xf numFmtId="168" fontId="27" fillId="0" borderId="17" xfId="0" applyNumberFormat="1" applyFont="1" applyBorder="1"/>
    <xf numFmtId="168" fontId="27" fillId="0" borderId="19" xfId="0" applyNumberFormat="1" applyFont="1" applyBorder="1"/>
    <xf numFmtId="0" fontId="27" fillId="0" borderId="36" xfId="0" pivotButton="1" applyFont="1" applyBorder="1"/>
    <xf numFmtId="168" fontId="27" fillId="0" borderId="36" xfId="0" applyNumberFormat="1" applyFont="1" applyBorder="1"/>
    <xf numFmtId="0" fontId="27" fillId="0" borderId="44" xfId="0" applyFont="1" applyBorder="1"/>
    <xf numFmtId="0" fontId="27" fillId="0" borderId="35" xfId="0" pivotButton="1" applyFont="1" applyBorder="1"/>
    <xf numFmtId="0" fontId="27" fillId="0" borderId="38" xfId="0" applyFont="1" applyBorder="1" applyAlignment="1">
      <alignment horizontal="left"/>
    </xf>
    <xf numFmtId="0" fontId="27" fillId="0" borderId="42" xfId="0" applyFont="1" applyBorder="1" applyAlignment="1">
      <alignment horizontal="left"/>
    </xf>
    <xf numFmtId="0" fontId="27" fillId="0" borderId="43" xfId="0" applyFont="1" applyBorder="1" applyAlignment="1">
      <alignment horizontal="left"/>
    </xf>
    <xf numFmtId="0" fontId="27" fillId="0" borderId="45" xfId="0" applyFont="1" applyBorder="1"/>
    <xf numFmtId="0" fontId="15" fillId="4" borderId="15" xfId="0" applyFont="1" applyFill="1" applyBorder="1" applyAlignment="1">
      <alignment horizontal="right"/>
    </xf>
    <xf numFmtId="165" fontId="15" fillId="4" borderId="0" xfId="0" applyNumberFormat="1" applyFont="1" applyFill="1" applyAlignment="1">
      <alignment horizontal="right"/>
    </xf>
    <xf numFmtId="0" fontId="15" fillId="4" borderId="0" xfId="0" applyFont="1" applyFill="1" applyAlignment="1">
      <alignment horizontal="right"/>
    </xf>
    <xf numFmtId="0" fontId="15" fillId="4" borderId="5" xfId="0" applyFont="1" applyFill="1" applyBorder="1" applyAlignment="1">
      <alignment horizontal="right"/>
    </xf>
    <xf numFmtId="0" fontId="15" fillId="4" borderId="20" xfId="0" applyFont="1" applyFill="1" applyBorder="1" applyAlignment="1">
      <alignment horizontal="right"/>
    </xf>
    <xf numFmtId="165" fontId="15" fillId="3" borderId="19" xfId="0" applyNumberFormat="1" applyFont="1" applyFill="1" applyBorder="1"/>
    <xf numFmtId="165" fontId="15" fillId="3" borderId="22" xfId="0" applyNumberFormat="1" applyFont="1" applyFill="1" applyBorder="1"/>
    <xf numFmtId="165" fontId="15" fillId="3" borderId="36" xfId="0" applyNumberFormat="1" applyFont="1" applyFill="1" applyBorder="1"/>
    <xf numFmtId="165" fontId="15" fillId="3" borderId="45" xfId="0" applyNumberFormat="1" applyFont="1" applyFill="1" applyBorder="1"/>
    <xf numFmtId="0" fontId="15" fillId="3" borderId="36" xfId="0" applyFont="1" applyFill="1" applyBorder="1"/>
    <xf numFmtId="0" fontId="15" fillId="3" borderId="45" xfId="0" applyFont="1" applyFill="1" applyBorder="1"/>
    <xf numFmtId="165" fontId="15" fillId="3" borderId="18" xfId="0" applyNumberFormat="1" applyFont="1" applyFill="1" applyBorder="1"/>
    <xf numFmtId="165" fontId="15" fillId="3" borderId="16" xfId="0" applyNumberFormat="1" applyFont="1" applyFill="1" applyBorder="1"/>
    <xf numFmtId="0" fontId="15" fillId="3" borderId="45" xfId="0" applyFont="1" applyFill="1" applyBorder="1" applyAlignment="1">
      <alignment horizontal="left"/>
    </xf>
    <xf numFmtId="10" fontId="15" fillId="3" borderId="0" xfId="0" applyNumberFormat="1" applyFont="1" applyFill="1"/>
    <xf numFmtId="10" fontId="15" fillId="3" borderId="18" xfId="0" applyNumberFormat="1" applyFont="1" applyFill="1" applyBorder="1"/>
    <xf numFmtId="10" fontId="15" fillId="3" borderId="20" xfId="0" applyNumberFormat="1" applyFont="1" applyFill="1" applyBorder="1"/>
    <xf numFmtId="10" fontId="15" fillId="3" borderId="22" xfId="0" applyNumberFormat="1" applyFont="1" applyFill="1" applyBorder="1"/>
    <xf numFmtId="10" fontId="15" fillId="3" borderId="15" xfId="0" applyNumberFormat="1" applyFont="1" applyFill="1" applyBorder="1"/>
    <xf numFmtId="0" fontId="15" fillId="3" borderId="35" xfId="0" applyFont="1" applyFill="1" applyBorder="1"/>
    <xf numFmtId="0" fontId="15" fillId="3" borderId="38" xfId="0" applyFont="1" applyFill="1" applyBorder="1" applyAlignment="1">
      <alignment horizontal="left"/>
    </xf>
    <xf numFmtId="0" fontId="15" fillId="3" borderId="42" xfId="0" applyFont="1" applyFill="1" applyBorder="1" applyAlignment="1">
      <alignment horizontal="left"/>
    </xf>
    <xf numFmtId="0" fontId="15" fillId="3" borderId="43" xfId="0" applyFont="1" applyFill="1" applyBorder="1" applyAlignment="1">
      <alignment horizontal="left"/>
    </xf>
    <xf numFmtId="0" fontId="15" fillId="3" borderId="35" xfId="0" applyFont="1" applyFill="1" applyBorder="1" applyAlignment="1">
      <alignment horizontal="left"/>
    </xf>
    <xf numFmtId="0" fontId="15" fillId="3" borderId="44" xfId="0" applyFont="1" applyFill="1" applyBorder="1"/>
    <xf numFmtId="165" fontId="15" fillId="3" borderId="14" xfId="0" applyNumberFormat="1" applyFont="1" applyFill="1" applyBorder="1"/>
    <xf numFmtId="165" fontId="15" fillId="4" borderId="14" xfId="0" applyNumberFormat="1" applyFont="1" applyFill="1" applyBorder="1"/>
    <xf numFmtId="165" fontId="15" fillId="4" borderId="15" xfId="0" applyNumberFormat="1" applyFont="1" applyFill="1" applyBorder="1"/>
    <xf numFmtId="165" fontId="15" fillId="4" borderId="16" xfId="0" applyNumberFormat="1" applyFont="1" applyFill="1" applyBorder="1"/>
    <xf numFmtId="165" fontId="15" fillId="4" borderId="17" xfId="0" applyNumberFormat="1" applyFont="1" applyFill="1" applyBorder="1"/>
    <xf numFmtId="165" fontId="15" fillId="4" borderId="19" xfId="0" applyNumberFormat="1" applyFont="1" applyFill="1" applyBorder="1"/>
    <xf numFmtId="0" fontId="15" fillId="4" borderId="38" xfId="0" applyFont="1" applyFill="1" applyBorder="1" applyAlignment="1">
      <alignment horizontal="left"/>
    </xf>
    <xf numFmtId="0" fontId="15" fillId="4" borderId="42" xfId="0" applyFont="1" applyFill="1" applyBorder="1" applyAlignment="1">
      <alignment horizontal="left"/>
    </xf>
    <xf numFmtId="0" fontId="15" fillId="4" borderId="43" xfId="0" applyFont="1" applyFill="1" applyBorder="1" applyAlignment="1">
      <alignment horizontal="left"/>
    </xf>
    <xf numFmtId="1" fontId="15" fillId="4" borderId="6" xfId="0" applyNumberFormat="1" applyFont="1" applyFill="1" applyBorder="1"/>
    <xf numFmtId="1" fontId="15" fillId="4" borderId="6" xfId="0" applyNumberFormat="1" applyFont="1" applyFill="1" applyBorder="1" applyAlignment="1">
      <alignment horizontal="left" vertical="center" indent="2"/>
    </xf>
    <xf numFmtId="1" fontId="15" fillId="4" borderId="52" xfId="0" applyNumberFormat="1" applyFont="1" applyFill="1" applyBorder="1"/>
    <xf numFmtId="1" fontId="15" fillId="4" borderId="52" xfId="0" applyNumberFormat="1" applyFont="1" applyFill="1" applyBorder="1" applyAlignment="1">
      <alignment horizontal="left" vertical="center" indent="2"/>
    </xf>
    <xf numFmtId="1" fontId="15" fillId="4" borderId="34" xfId="0" applyNumberFormat="1" applyFont="1" applyFill="1" applyBorder="1"/>
    <xf numFmtId="1" fontId="15" fillId="4" borderId="53" xfId="0" applyNumberFormat="1" applyFont="1" applyFill="1" applyBorder="1"/>
    <xf numFmtId="1" fontId="15" fillId="4" borderId="14" xfId="0" applyNumberFormat="1" applyFont="1" applyFill="1" applyBorder="1"/>
    <xf numFmtId="1" fontId="15" fillId="4" borderId="30" xfId="0" applyNumberFormat="1" applyFont="1" applyFill="1" applyBorder="1"/>
    <xf numFmtId="1" fontId="15" fillId="4" borderId="30" xfId="0" applyNumberFormat="1" applyFont="1" applyFill="1" applyBorder="1" applyAlignment="1">
      <alignment horizontal="left" vertical="center" indent="2"/>
    </xf>
    <xf numFmtId="1" fontId="15" fillId="4" borderId="56" xfId="0" applyNumberFormat="1" applyFont="1" applyFill="1" applyBorder="1"/>
    <xf numFmtId="0" fontId="15" fillId="4" borderId="39" xfId="0" applyFont="1" applyFill="1" applyBorder="1" applyAlignment="1">
      <alignment horizontal="left" vertical="center" indent="2"/>
    </xf>
    <xf numFmtId="165" fontId="15" fillId="4" borderId="3" xfId="0" applyNumberFormat="1" applyFont="1" applyFill="1" applyBorder="1"/>
    <xf numFmtId="165" fontId="15" fillId="4" borderId="5" xfId="0" applyNumberFormat="1" applyFont="1" applyFill="1" applyBorder="1"/>
    <xf numFmtId="165" fontId="15" fillId="4" borderId="24" xfId="0" applyNumberFormat="1" applyFont="1" applyFill="1" applyBorder="1"/>
    <xf numFmtId="165" fontId="15" fillId="4" borderId="31" xfId="0" applyNumberFormat="1" applyFont="1" applyFill="1" applyBorder="1"/>
    <xf numFmtId="165" fontId="15" fillId="4" borderId="57" xfId="0" applyNumberFormat="1" applyFont="1" applyFill="1" applyBorder="1"/>
    <xf numFmtId="165" fontId="15" fillId="4" borderId="58" xfId="0" applyNumberFormat="1" applyFont="1" applyFill="1" applyBorder="1"/>
    <xf numFmtId="165" fontId="15" fillId="4" borderId="59" xfId="0" applyNumberFormat="1" applyFont="1" applyFill="1" applyBorder="1"/>
    <xf numFmtId="165" fontId="15" fillId="4" borderId="51" xfId="0" applyNumberFormat="1" applyFont="1" applyFill="1" applyBorder="1" applyAlignment="1">
      <alignment horizontal="left"/>
    </xf>
    <xf numFmtId="165" fontId="15" fillId="4" borderId="37" xfId="0" applyNumberFormat="1" applyFont="1" applyFill="1" applyBorder="1" applyAlignment="1">
      <alignment horizontal="left"/>
    </xf>
    <xf numFmtId="165" fontId="15" fillId="4" borderId="46" xfId="0" applyNumberFormat="1" applyFont="1" applyFill="1" applyBorder="1"/>
    <xf numFmtId="165" fontId="15" fillId="4" borderId="47" xfId="0" applyNumberFormat="1" applyFont="1" applyFill="1" applyBorder="1"/>
    <xf numFmtId="165" fontId="15" fillId="4" borderId="37" xfId="0" applyNumberFormat="1" applyFont="1" applyFill="1" applyBorder="1"/>
    <xf numFmtId="165" fontId="15" fillId="4" borderId="46" xfId="0" applyNumberFormat="1" applyFont="1" applyFill="1" applyBorder="1" applyAlignment="1">
      <alignment horizontal="left"/>
    </xf>
    <xf numFmtId="165" fontId="15" fillId="4" borderId="48" xfId="0" applyNumberFormat="1" applyFont="1" applyFill="1" applyBorder="1" applyAlignment="1">
      <alignment horizontal="left"/>
    </xf>
    <xf numFmtId="165" fontId="15" fillId="4" borderId="60" xfId="0" applyNumberFormat="1" applyFont="1" applyFill="1" applyBorder="1" applyAlignment="1">
      <alignment horizontal="left"/>
    </xf>
    <xf numFmtId="165" fontId="15" fillId="4" borderId="51" xfId="0" applyNumberFormat="1" applyFont="1" applyFill="1" applyBorder="1"/>
    <xf numFmtId="165" fontId="15" fillId="4" borderId="44" xfId="0" applyNumberFormat="1" applyFont="1" applyFill="1" applyBorder="1"/>
    <xf numFmtId="165" fontId="15" fillId="4" borderId="45" xfId="0" applyNumberFormat="1" applyFont="1" applyFill="1" applyBorder="1"/>
    <xf numFmtId="165" fontId="15" fillId="4" borderId="13" xfId="0" applyNumberFormat="1" applyFont="1" applyFill="1" applyBorder="1"/>
    <xf numFmtId="165" fontId="15" fillId="4" borderId="54" xfId="0" applyNumberFormat="1" applyFont="1" applyFill="1" applyBorder="1" applyAlignment="1">
      <alignment horizontal="left"/>
    </xf>
    <xf numFmtId="165" fontId="15" fillId="4" borderId="55" xfId="0" applyNumberFormat="1" applyFont="1" applyFill="1" applyBorder="1" applyAlignment="1">
      <alignment horizontal="left"/>
    </xf>
    <xf numFmtId="165" fontId="15" fillId="4" borderId="48" xfId="0" applyNumberFormat="1" applyFont="1" applyFill="1" applyBorder="1"/>
    <xf numFmtId="165" fontId="15" fillId="4" borderId="49" xfId="0" applyNumberFormat="1" applyFont="1" applyFill="1" applyBorder="1"/>
    <xf numFmtId="165" fontId="15" fillId="4" borderId="50" xfId="0" applyNumberFormat="1" applyFont="1" applyFill="1" applyBorder="1"/>
    <xf numFmtId="165" fontId="15" fillId="4" borderId="32" xfId="0" applyNumberFormat="1" applyFont="1" applyFill="1" applyBorder="1"/>
    <xf numFmtId="165" fontId="15" fillId="4" borderId="35" xfId="0" applyNumberFormat="1" applyFont="1" applyFill="1" applyBorder="1"/>
    <xf numFmtId="165" fontId="15" fillId="4" borderId="36" xfId="0" applyNumberFormat="1" applyFont="1" applyFill="1" applyBorder="1"/>
    <xf numFmtId="14" fontId="15" fillId="4" borderId="38" xfId="0" applyNumberFormat="1" applyFont="1" applyFill="1" applyBorder="1"/>
    <xf numFmtId="14" fontId="15" fillId="4" borderId="42" xfId="0" applyNumberFormat="1" applyFont="1" applyFill="1" applyBorder="1"/>
    <xf numFmtId="14" fontId="15" fillId="4" borderId="43" xfId="0" applyNumberFormat="1" applyFont="1" applyFill="1" applyBorder="1"/>
    <xf numFmtId="0" fontId="15" fillId="4" borderId="46" xfId="0" applyFont="1" applyFill="1" applyBorder="1"/>
    <xf numFmtId="0" fontId="15" fillId="4" borderId="48" xfId="0" applyFont="1" applyFill="1" applyBorder="1"/>
    <xf numFmtId="0" fontId="15" fillId="4" borderId="49" xfId="0" applyFont="1" applyFill="1" applyBorder="1"/>
    <xf numFmtId="0" fontId="15" fillId="4" borderId="50" xfId="0" applyFont="1" applyFill="1" applyBorder="1"/>
    <xf numFmtId="165" fontId="15" fillId="4" borderId="4" xfId="0" applyNumberFormat="1" applyFont="1" applyFill="1" applyBorder="1"/>
    <xf numFmtId="165" fontId="15" fillId="4" borderId="6" xfId="0" applyNumberFormat="1" applyFont="1" applyFill="1" applyBorder="1"/>
    <xf numFmtId="165" fontId="15" fillId="4" borderId="52" xfId="0" applyNumberFormat="1" applyFont="1" applyFill="1" applyBorder="1"/>
    <xf numFmtId="165" fontId="15" fillId="4" borderId="33" xfId="0" applyNumberFormat="1" applyFont="1" applyFill="1" applyBorder="1"/>
    <xf numFmtId="165" fontId="15" fillId="4" borderId="34" xfId="0" applyNumberFormat="1" applyFont="1" applyFill="1" applyBorder="1"/>
    <xf numFmtId="165" fontId="15" fillId="4" borderId="53" xfId="0" applyNumberFormat="1" applyFont="1" applyFill="1" applyBorder="1"/>
    <xf numFmtId="0" fontId="15" fillId="4" borderId="48" xfId="0" applyFont="1" applyFill="1" applyBorder="1" applyAlignment="1">
      <alignment horizontal="left"/>
    </xf>
    <xf numFmtId="0" fontId="15" fillId="4" borderId="54" xfId="0" applyFont="1" applyFill="1" applyBorder="1" applyAlignment="1">
      <alignment horizontal="left"/>
    </xf>
    <xf numFmtId="0" fontId="15" fillId="4" borderId="55" xfId="0" applyFont="1" applyFill="1" applyBorder="1" applyAlignment="1">
      <alignment horizontal="left"/>
    </xf>
    <xf numFmtId="165" fontId="15" fillId="4" borderId="0" xfId="0" applyNumberFormat="1" applyFont="1" applyFill="1" applyAlignment="1">
      <alignment horizontal="left" vertical="center" indent="2"/>
    </xf>
    <xf numFmtId="165" fontId="15" fillId="4" borderId="18" xfId="0" applyNumberFormat="1" applyFont="1" applyFill="1" applyBorder="1" applyAlignment="1">
      <alignment horizontal="left" vertical="center" indent="2"/>
    </xf>
    <xf numFmtId="165" fontId="15" fillId="4" borderId="29" xfId="0" applyNumberFormat="1" applyFont="1" applyFill="1" applyBorder="1"/>
    <xf numFmtId="165" fontId="15" fillId="4" borderId="17" xfId="0" applyNumberFormat="1" applyFont="1" applyFill="1" applyBorder="1" applyAlignment="1">
      <alignment horizontal="left" vertical="center" indent="2"/>
    </xf>
    <xf numFmtId="0" fontId="27" fillId="0" borderId="20" xfId="0" applyFont="1" applyBorder="1"/>
    <xf numFmtId="0" fontId="27" fillId="0" borderId="22" xfId="0" applyFont="1" applyBorder="1"/>
    <xf numFmtId="0" fontId="17" fillId="2" borderId="19" xfId="0" applyFont="1" applyFill="1" applyBorder="1"/>
    <xf numFmtId="0" fontId="17" fillId="2" borderId="20" xfId="0" applyFont="1" applyFill="1" applyBorder="1"/>
    <xf numFmtId="0" fontId="17" fillId="2" borderId="22" xfId="0" applyFont="1" applyFill="1" applyBorder="1"/>
    <xf numFmtId="0" fontId="15" fillId="2" borderId="0" xfId="0" applyFont="1" applyFill="1"/>
    <xf numFmtId="0" fontId="15" fillId="2" borderId="0" xfId="0" applyFont="1" applyFill="1" applyAlignment="1">
      <alignment horizontal="left" vertical="center" indent="2"/>
    </xf>
    <xf numFmtId="0" fontId="15" fillId="2" borderId="17" xfId="0" applyFont="1" applyFill="1" applyBorder="1"/>
    <xf numFmtId="0" fontId="15" fillId="2" borderId="18" xfId="0" applyFont="1" applyFill="1" applyBorder="1"/>
    <xf numFmtId="0" fontId="28" fillId="2" borderId="0" xfId="0" applyFont="1" applyFill="1" applyAlignment="1">
      <alignment vertical="center"/>
    </xf>
    <xf numFmtId="0" fontId="12" fillId="6" borderId="14" xfId="0" applyFont="1" applyFill="1" applyBorder="1" applyAlignment="1">
      <alignment horizontal="left" vertical="center" indent="2"/>
    </xf>
    <xf numFmtId="0" fontId="12" fillId="6" borderId="15" xfId="0" applyFont="1" applyFill="1" applyBorder="1" applyAlignment="1">
      <alignment horizontal="left" vertical="center" indent="2"/>
    </xf>
    <xf numFmtId="0" fontId="29" fillId="6" borderId="16" xfId="0" applyFont="1" applyFill="1" applyBorder="1" applyAlignment="1">
      <alignment horizontal="right" vertical="center"/>
    </xf>
  </cellXfs>
  <cellStyles count="4">
    <cellStyle name="Comma" xfId="1" builtinId="3"/>
    <cellStyle name="Currency" xfId="3" builtinId="4"/>
    <cellStyle name="Normal" xfId="0" builtinId="0"/>
    <cellStyle name="Percent" xfId="2" builtinId="5"/>
  </cellStyles>
  <dxfs count="1141">
    <dxf>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theme="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4" formatCode="#,##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color rgb="FF9C0006"/>
      </font>
      <fill>
        <patternFill>
          <bgColor rgb="FFFFC7CE"/>
        </patternFill>
      </fill>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horizontal="left" relativeIndent="1"/>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alignment horizontal="left"/>
    </dxf>
    <dxf>
      <alignment horizontal="left"/>
    </dxf>
    <dxf>
      <alignment horizontal="left"/>
    </dxf>
    <dxf>
      <alignment horizontal="lef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relativeIndent="1"/>
    </dxf>
    <dxf>
      <alignment horizontal="left" relativeIndent="1"/>
    </dxf>
    <dxf>
      <alignment horizontal="left" relativeIndent="1"/>
    </dxf>
    <dxf>
      <alignment vertical="center" indent="0"/>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numFmt numFmtId="1" formatCode="0"/>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sz val="11"/>
      </font>
    </dxf>
    <dxf>
      <font>
        <sz val="11"/>
      </font>
    </dxf>
    <dxf>
      <font>
        <sz val="11"/>
      </font>
    </dxf>
    <dxf>
      <protection locked="1"/>
    </dxf>
    <dxf>
      <protection locked="1"/>
    </dxf>
    <dxf>
      <protection locked="1"/>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0" formatCode="General"/>
    </dxf>
    <dxf>
      <numFmt numFmtId="165" formatCode="_-* #,##0_-;\-* #,##0_-;_-* &quot;-&quot;??_-;_-@_-"/>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numFmt numFmtId="2" formatCode="0.0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sz val="16"/>
        <color rgb="FFD43260"/>
        <name val="Avenir Next LT Pro"/>
        <family val="2"/>
        <scheme val="none"/>
      </font>
    </dxf>
    <dxf>
      <font>
        <sz val="11"/>
        <name val="Avenir Next LT Pro"/>
        <family val="2"/>
        <scheme val="none"/>
      </font>
      <fill>
        <patternFill patternType="solid">
          <fgColor auto="1"/>
          <bgColor rgb="FF070E25"/>
        </patternFill>
      </fill>
      <border>
        <left/>
        <right/>
        <top/>
        <bottom/>
      </border>
    </dxf>
    <dxf>
      <font>
        <sz val="16"/>
        <color rgb="FFD43260"/>
        <name val="Avenir Next LT Pro"/>
        <family val="2"/>
        <scheme val="none"/>
      </font>
    </dxf>
    <dxf>
      <font>
        <sz val="11"/>
        <name val="Avenir Next LT Pro"/>
        <family val="2"/>
        <scheme val="none"/>
      </font>
      <fill>
        <patternFill patternType="solid">
          <fgColor auto="1"/>
          <bgColor theme="1"/>
        </patternFill>
      </fill>
      <border>
        <left/>
        <right/>
        <top/>
        <bottom/>
      </border>
    </dxf>
    <dxf>
      <font>
        <sz val="11"/>
        <name val="Avenir Next LT Pro"/>
        <family val="2"/>
        <scheme val="none"/>
      </font>
      <fill>
        <patternFill patternType="solid">
          <fgColor auto="1"/>
          <bgColor rgb="FF070E25"/>
        </patternFill>
      </fill>
      <border>
        <left/>
        <right/>
        <top/>
        <bottom/>
      </border>
    </dxf>
    <dxf>
      <fill>
        <patternFill patternType="solid">
          <fgColor rgb="FFDEEAF6"/>
          <bgColor rgb="FFDEEAF6"/>
        </patternFill>
      </fill>
    </dxf>
    <dxf>
      <fill>
        <patternFill patternType="solid">
          <fgColor rgb="FFD9E2F3"/>
          <bgColor rgb="FFD9E2F3"/>
        </patternFill>
      </fill>
    </dxf>
    <dxf>
      <fill>
        <patternFill patternType="solid">
          <fgColor theme="0"/>
          <bgColor theme="0"/>
        </patternFill>
      </fill>
    </dxf>
    <dxf>
      <fill>
        <patternFill patternType="solid">
          <fgColor theme="8"/>
          <bgColor theme="8"/>
        </patternFill>
      </fill>
    </dxf>
  </dxfs>
  <tableStyles count="4" defaultTableStyle="TableStyleMedium2" defaultPivotStyle="PivotStyleLight16">
    <tableStyle name="DataSheet-style" pivot="0" count="4" xr9:uid="{00000000-0011-0000-FFFF-FFFF00000000}">
      <tableStyleElement type="headerRow" dxfId="1140"/>
      <tableStyleElement type="totalRow" dxfId="1139"/>
      <tableStyleElement type="firstRowStripe" dxfId="1138"/>
      <tableStyleElement type="secondRowStripe" dxfId="1137"/>
    </tableStyle>
    <tableStyle name="Slicer Style 1" pivot="0" table="0" count="5" xr9:uid="{199AF33C-BF78-4386-977F-388555F0CB83}">
      <tableStyleElement type="wholeTable" dxfId="1136"/>
    </tableStyle>
    <tableStyle name="Slicer Style 1 2" pivot="0" table="0" count="6" xr9:uid="{EAB6A50D-DEE4-4F5D-8A4D-719C3E4C638B}">
      <tableStyleElement type="wholeTable" dxfId="1135"/>
      <tableStyleElement type="headerRow" dxfId="1134"/>
    </tableStyle>
    <tableStyle name="Slicer Style 1 2 3" pivot="0" table="0" count="6" xr9:uid="{11C7027D-D270-4374-9564-617F0F4B451B}">
      <tableStyleElement type="wholeTable" dxfId="1133"/>
      <tableStyleElement type="headerRow" dxfId="1132"/>
    </tableStyle>
  </tableStyles>
  <colors>
    <mruColors>
      <color rgb="FF990099"/>
      <color rgb="FF800080"/>
      <color rgb="FF1D1D3A"/>
      <color rgb="FF002060"/>
      <color rgb="FFB1F5F1"/>
      <color rgb="FFD43260"/>
      <color rgb="FFCC00CC"/>
      <color rgb="FF7417BD"/>
      <color rgb="FF6921B5"/>
      <color rgb="FF194AFE"/>
    </mruColors>
  </colors>
  <extLst>
    <ext xmlns:x14="http://schemas.microsoft.com/office/spreadsheetml/2009/9/main" uri="{46F421CA-312F-682f-3DD2-61675219B42D}">
      <x14:dxfs count="12">
        <dxf>
          <font>
            <color rgb="FFD43260"/>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rgb="FF070E25"/>
            </patternFill>
          </fill>
          <border>
            <left style="thin">
              <color theme="0"/>
            </left>
            <right style="thin">
              <color theme="0"/>
            </right>
            <top style="thin">
              <color theme="0"/>
            </top>
            <bottom style="thin">
              <color theme="0"/>
            </bottom>
          </border>
        </dxf>
        <dxf>
          <font>
            <color theme="0"/>
          </font>
          <fill>
            <patternFill>
              <fgColor theme="1"/>
              <bgColor rgb="FF00206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7030A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00206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2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styles" Target="styles.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ivotCacheDefinition" Target="pivotCache/pivotCacheDefinition23.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microsoft.com/office/2007/relationships/slicerCache" Target="slicerCaches/slicerCache1.xml"/><Relationship Id="rId37" Type="http://schemas.microsoft.com/office/2007/relationships/slicerCache" Target="slicerCaches/slicerCache6.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microsoft.com/office/2007/relationships/slicerCache" Target="slicerCaches/slicerCache4.xml"/><Relationship Id="rId43" Type="http://schemas.openxmlformats.org/officeDocument/2006/relationships/sharedStrings" Target="sharedStrings.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pivotCacheDefinition" Target="pivotCache/pivotCacheDefinition2.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pivotCacheDefinition" Target="pivotCache/pivotCacheDefinition14.xml"/><Relationship Id="rId41" Type="http://schemas.openxmlformats.org/officeDocument/2006/relationships/connections" Target="connection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5.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heetMetadata" Target="metadata.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07/relationships/slicerCache" Target="slicerCaches/slicerCache8.xml"/><Relationship Id="rId34" Type="http://schemas.microsoft.com/office/2007/relationships/slicerCache" Target="slicerCaches/slicerCache3.xml"/><Relationship Id="rId50" Type="http://schemas.openxmlformats.org/officeDocument/2006/relationships/customXml" Target="../customXml/item4.xml"/><Relationship Id="rId55" Type="http://schemas.openxmlformats.org/officeDocument/2006/relationships/customXml" Target="../customXml/item9.xml"/><Relationship Id="rId76" Type="http://schemas.microsoft.com/office/2006/relationships/vbaProject" Target="vbaProject.bin"/><Relationship Id="rId7" Type="http://schemas.openxmlformats.org/officeDocument/2006/relationships/pivotCacheDefinition" Target="pivotCache/pivotCacheDefinition1.xml"/><Relationship Id="rId71" Type="http://schemas.openxmlformats.org/officeDocument/2006/relationships/customXml" Target="../customXml/item2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spPr>
            <a:gradFill>
              <a:gsLst>
                <a:gs pos="60000">
                  <a:srgbClr val="9947F7"/>
                </a:gs>
                <a:gs pos="0">
                  <a:srgbClr val="DC25FA"/>
                </a:gs>
              </a:gsLst>
              <a:lin ang="5400000" scaled="1"/>
            </a:gradFill>
            <a:ln w="146050">
              <a:solidFill>
                <a:schemeClr val="tx1"/>
              </a:solidFill>
            </a:ln>
          </c:spPr>
          <c:dPt>
            <c:idx val="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1-3A37-4DA5-B160-B2FECB46A751}"/>
              </c:ext>
            </c:extLst>
          </c:dPt>
          <c:dPt>
            <c:idx val="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3-3A37-4DA5-B160-B2FECB46A751}"/>
              </c:ext>
            </c:extLst>
          </c:dPt>
          <c:dPt>
            <c:idx val="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5-3A37-4DA5-B160-B2FECB46A751}"/>
              </c:ext>
            </c:extLst>
          </c:dPt>
          <c:dPt>
            <c:idx val="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7-3A37-4DA5-B160-B2FECB46A751}"/>
              </c:ext>
            </c:extLst>
          </c:dPt>
          <c:dPt>
            <c:idx val="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9-3A37-4DA5-B160-B2FECB46A751}"/>
              </c:ext>
            </c:extLst>
          </c:dPt>
          <c:dPt>
            <c:idx val="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B-3A37-4DA5-B160-B2FECB46A751}"/>
              </c:ext>
            </c:extLst>
          </c:dPt>
          <c:dPt>
            <c:idx val="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D-3A37-4DA5-B160-B2FECB46A751}"/>
              </c:ext>
            </c:extLst>
          </c:dPt>
          <c:dPt>
            <c:idx val="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F-3A37-4DA5-B160-B2FECB46A751}"/>
              </c:ext>
            </c:extLst>
          </c:dPt>
          <c:dPt>
            <c:idx val="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1-3A37-4DA5-B160-B2FECB46A751}"/>
              </c:ext>
            </c:extLst>
          </c:dPt>
          <c:dPt>
            <c:idx val="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3-3A37-4DA5-B160-B2FECB46A751}"/>
              </c:ext>
            </c:extLst>
          </c:dPt>
          <c:dPt>
            <c:idx val="1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5-3A37-4DA5-B160-B2FECB46A751}"/>
              </c:ext>
            </c:extLst>
          </c:dPt>
          <c:dPt>
            <c:idx val="1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7-3A37-4DA5-B160-B2FECB46A751}"/>
              </c:ext>
            </c:extLst>
          </c:dPt>
          <c:dPt>
            <c:idx val="1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9-3A37-4DA5-B160-B2FECB46A751}"/>
              </c:ext>
            </c:extLst>
          </c:dPt>
          <c:dPt>
            <c:idx val="1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B-3A37-4DA5-B160-B2FECB46A751}"/>
              </c:ext>
            </c:extLst>
          </c:dPt>
          <c:dPt>
            <c:idx val="1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D-3A37-4DA5-B160-B2FECB46A751}"/>
              </c:ext>
            </c:extLst>
          </c:dPt>
          <c:dPt>
            <c:idx val="1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F-3A37-4DA5-B160-B2FECB46A751}"/>
              </c:ext>
            </c:extLst>
          </c:dPt>
          <c:dPt>
            <c:idx val="1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1-3A37-4DA5-B160-B2FECB46A751}"/>
              </c:ext>
            </c:extLst>
          </c:dPt>
          <c:dPt>
            <c:idx val="1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3-3A37-4DA5-B160-B2FECB46A751}"/>
              </c:ext>
            </c:extLst>
          </c:dPt>
          <c:dPt>
            <c:idx val="1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5-3A37-4DA5-B160-B2FECB46A751}"/>
              </c:ext>
            </c:extLst>
          </c:dPt>
          <c:dPt>
            <c:idx val="1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7-3A37-4DA5-B160-B2FECB46A751}"/>
              </c:ext>
            </c:extLst>
          </c:dPt>
          <c:dPt>
            <c:idx val="2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9-3A37-4DA5-B160-B2FECB46A751}"/>
              </c:ext>
            </c:extLst>
          </c:dPt>
          <c:dPt>
            <c:idx val="2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B-3A37-4DA5-B160-B2FECB46A751}"/>
              </c:ext>
            </c:extLst>
          </c:dPt>
          <c:dPt>
            <c:idx val="2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D-3A37-4DA5-B160-B2FECB46A751}"/>
              </c:ext>
            </c:extLst>
          </c:dPt>
          <c:dPt>
            <c:idx val="2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F-3A37-4DA5-B160-B2FECB46A751}"/>
              </c:ext>
            </c:extLst>
          </c:dPt>
          <c:dPt>
            <c:idx val="2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1-3A37-4DA5-B160-B2FECB46A751}"/>
              </c:ext>
            </c:extLst>
          </c:dPt>
          <c:dPt>
            <c:idx val="2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3-3A37-4DA5-B160-B2FECB46A751}"/>
              </c:ext>
            </c:extLst>
          </c:dPt>
          <c:dPt>
            <c:idx val="2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5-3A37-4DA5-B160-B2FECB46A751}"/>
              </c:ext>
            </c:extLst>
          </c:dPt>
          <c:dPt>
            <c:idx val="2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7-3A37-4DA5-B160-B2FECB46A751}"/>
              </c:ext>
            </c:extLst>
          </c:dPt>
          <c:dPt>
            <c:idx val="2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9-3A37-4DA5-B160-B2FECB46A751}"/>
              </c:ext>
            </c:extLst>
          </c:dPt>
          <c:dPt>
            <c:idx val="2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B-3A37-4DA5-B160-B2FECB46A751}"/>
              </c:ext>
            </c:extLst>
          </c:dPt>
          <c:dPt>
            <c:idx val="3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D-3A37-4DA5-B160-B2FECB46A751}"/>
              </c:ext>
            </c:extLst>
          </c:dPt>
          <c:dPt>
            <c:idx val="3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F-3A37-4DA5-B160-B2FECB46A751}"/>
              </c:ext>
            </c:extLst>
          </c:dPt>
          <c:dPt>
            <c:idx val="3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1-3A37-4DA5-B160-B2FECB46A751}"/>
              </c:ext>
            </c:extLst>
          </c:dPt>
          <c:dPt>
            <c:idx val="3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3-3A37-4DA5-B160-B2FECB46A751}"/>
              </c:ext>
            </c:extLst>
          </c:dPt>
          <c:dPt>
            <c:idx val="3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5-3A37-4DA5-B160-B2FECB46A751}"/>
              </c:ext>
            </c:extLst>
          </c:dPt>
          <c:dPt>
            <c:idx val="3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7-3A37-4DA5-B160-B2FECB46A751}"/>
              </c:ext>
            </c:extLst>
          </c:dPt>
          <c:dPt>
            <c:idx val="3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9-3A37-4DA5-B160-B2FECB46A751}"/>
              </c:ext>
            </c:extLst>
          </c:dPt>
          <c:dPt>
            <c:idx val="3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B-3A37-4DA5-B160-B2FECB46A751}"/>
              </c:ext>
            </c:extLst>
          </c:dPt>
          <c:dPt>
            <c:idx val="3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D-3A37-4DA5-B160-B2FECB46A751}"/>
              </c:ext>
            </c:extLst>
          </c:dPt>
          <c:dPt>
            <c:idx val="3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F-3A37-4DA5-B160-B2FECB46A751}"/>
              </c:ext>
            </c:extLst>
          </c:dPt>
          <c:dPt>
            <c:idx val="4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1-3A37-4DA5-B160-B2FECB46A751}"/>
              </c:ext>
            </c:extLst>
          </c:dPt>
          <c:dPt>
            <c:idx val="4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3-3A37-4DA5-B160-B2FECB46A751}"/>
              </c:ext>
            </c:extLst>
          </c:dPt>
          <c:dPt>
            <c:idx val="4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5-3A37-4DA5-B160-B2FECB46A751}"/>
              </c:ext>
            </c:extLst>
          </c:dPt>
          <c:dPt>
            <c:idx val="4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7-3A37-4DA5-B160-B2FECB46A751}"/>
              </c:ext>
            </c:extLst>
          </c:dPt>
          <c:dPt>
            <c:idx val="4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9-3A37-4DA5-B160-B2FECB46A751}"/>
              </c:ext>
            </c:extLst>
          </c:dPt>
          <c:dPt>
            <c:idx val="4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B-3A37-4DA5-B160-B2FECB46A751}"/>
              </c:ext>
            </c:extLst>
          </c:dPt>
          <c:dPt>
            <c:idx val="4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D-3A37-4DA5-B160-B2FECB46A751}"/>
              </c:ext>
            </c:extLst>
          </c:dPt>
          <c:dPt>
            <c:idx val="4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F-3A37-4DA5-B160-B2FECB46A751}"/>
              </c:ext>
            </c:extLst>
          </c:dPt>
          <c:dPt>
            <c:idx val="4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1-3A37-4DA5-B160-B2FECB46A751}"/>
              </c:ext>
            </c:extLst>
          </c:dPt>
          <c:dPt>
            <c:idx val="4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3-3A37-4DA5-B160-B2FECB46A751}"/>
              </c:ext>
            </c:extLst>
          </c:dPt>
          <c:dPt>
            <c:idx val="5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5-3A37-4DA5-B160-B2FECB46A751}"/>
              </c:ext>
            </c:extLst>
          </c:dPt>
          <c:dPt>
            <c:idx val="5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7-3A37-4DA5-B160-B2FECB46A751}"/>
              </c:ext>
            </c:extLst>
          </c:dPt>
          <c:dPt>
            <c:idx val="5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9-3A37-4DA5-B160-B2FECB46A751}"/>
              </c:ext>
            </c:extLst>
          </c:dPt>
          <c:dPt>
            <c:idx val="5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B-3A37-4DA5-B160-B2FECB46A751}"/>
              </c:ext>
            </c:extLst>
          </c:dPt>
          <c:dPt>
            <c:idx val="5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D-3A37-4DA5-B160-B2FECB46A751}"/>
              </c:ext>
            </c:extLst>
          </c:dPt>
          <c:dPt>
            <c:idx val="5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F-3A37-4DA5-B160-B2FECB46A751}"/>
              </c:ext>
            </c:extLst>
          </c:dPt>
          <c:dPt>
            <c:idx val="5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1-3A37-4DA5-B160-B2FECB46A751}"/>
              </c:ext>
            </c:extLst>
          </c:dPt>
          <c:dPt>
            <c:idx val="5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3-3A37-4DA5-B160-B2FECB46A751}"/>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3A37-4DA5-B160-B2FECB46A751}"/>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3A37-4DA5-B160-B2FECB46A751}"/>
              </c:ext>
            </c:extLst>
          </c:dPt>
          <c:dPt>
            <c:idx val="1"/>
            <c:bubble3D val="0"/>
            <c:spPr>
              <a:solidFill>
                <a:srgbClr val="DC25FA">
                  <a:alpha val="30000"/>
                </a:srgbClr>
              </a:solidFill>
              <a:ln w="19050">
                <a:noFill/>
              </a:ln>
              <a:effectLst/>
            </c:spPr>
            <c:extLst>
              <c:ext xmlns:c16="http://schemas.microsoft.com/office/drawing/2014/chart" uri="{C3380CC4-5D6E-409C-BE32-E72D297353CC}">
                <c16:uniqueId val="{00000078-3A37-4DA5-B160-B2FECB46A751}"/>
              </c:ext>
            </c:extLst>
          </c:dPt>
          <c:val>
            <c:numRef>
              <c:f>Pivot_tables!$R$6:$S$6</c:f>
              <c:numCache>
                <c:formatCode>0.00%</c:formatCode>
                <c:ptCount val="2"/>
                <c:pt idx="0" formatCode="0%">
                  <c:v>1</c:v>
                </c:pt>
                <c:pt idx="1">
                  <c:v>0.11428146106051534</c:v>
                </c:pt>
              </c:numCache>
            </c:numRef>
          </c:val>
          <c:extLst>
            <c:ext xmlns:c16="http://schemas.microsoft.com/office/drawing/2014/chart" uri="{C3380CC4-5D6E-409C-BE32-E72D297353CC}">
              <c16:uniqueId val="{00000079-3A37-4DA5-B160-B2FECB46A75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147029495127386E-3"/>
          <c:y val="1.2668247038797254E-2"/>
          <c:w val="0.9827012659509049"/>
          <c:h val="0.9794140985619546"/>
        </c:manualLayout>
      </c:layout>
      <c:bubbleChart>
        <c:varyColors val="0"/>
        <c:ser>
          <c:idx val="0"/>
          <c:order val="0"/>
          <c:tx>
            <c:v>Sales</c:v>
          </c:tx>
          <c:spPr>
            <a:gradFill flip="none" rotWithShape="1">
              <a:gsLst>
                <a:gs pos="34000">
                  <a:srgbClr val="100D83"/>
                </a:gs>
                <a:gs pos="79000">
                  <a:srgbClr val="7417BD"/>
                </a:gs>
              </a:gsLst>
              <a:path path="circle">
                <a:fillToRect l="100000" t="100000"/>
              </a:path>
              <a:tileRect r="-100000" b="-100000"/>
            </a:gradFill>
            <a:ln>
              <a:noFill/>
            </a:ln>
            <a:effectLst>
              <a:outerShdw blurRad="127000" dist="50800" dir="5400000" sx="109000" sy="109000" algn="ctr" rotWithShape="0">
                <a:srgbClr val="7417BD">
                  <a:alpha val="80000"/>
                </a:srgbClr>
              </a:outerShdw>
            </a:effectLst>
          </c:spPr>
          <c:invertIfNegative val="0"/>
          <c:dLbls>
            <c:dLbl>
              <c:idx val="0"/>
              <c:tx>
                <c:rich>
                  <a:bodyPr/>
                  <a:lstStyle/>
                  <a:p>
                    <a:fld id="{EC5DDDCD-2D95-4E27-9C50-2864CFABF64C}"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500-4D6B-AE1A-10A7C7B28FD6}"/>
                </c:ext>
              </c:extLst>
            </c:dLbl>
            <c:dLbl>
              <c:idx val="1"/>
              <c:tx>
                <c:rich>
                  <a:bodyPr/>
                  <a:lstStyle/>
                  <a:p>
                    <a:fld id="{774B3EE9-0C7E-4188-83D9-E734EE54F5EB}"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500-4D6B-AE1A-10A7C7B28FD6}"/>
                </c:ext>
              </c:extLst>
            </c:dLbl>
            <c:dLbl>
              <c:idx val="2"/>
              <c:tx>
                <c:rich>
                  <a:bodyPr/>
                  <a:lstStyle/>
                  <a:p>
                    <a:fld id="{EE4127FD-BC24-4967-9E28-615B40C99E88}"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500-4D6B-AE1A-10A7C7B28FD6}"/>
                </c:ext>
              </c:extLst>
            </c:dLbl>
            <c:dLbl>
              <c:idx val="3"/>
              <c:tx>
                <c:rich>
                  <a:bodyPr/>
                  <a:lstStyle/>
                  <a:p>
                    <a:fld id="{AE6E4754-32FB-4C63-8F6D-5017AC7C8C4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500-4D6B-AE1A-10A7C7B28FD6}"/>
                </c:ext>
              </c:extLst>
            </c:dLbl>
            <c:dLbl>
              <c:idx val="4"/>
              <c:tx>
                <c:rich>
                  <a:bodyPr/>
                  <a:lstStyle/>
                  <a:p>
                    <a:fld id="{40D1FF52-825E-49AE-AADA-34EA6B8207C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500-4D6B-AE1A-10A7C7B28FD6}"/>
                </c:ext>
              </c:extLst>
            </c:dLbl>
            <c:dLbl>
              <c:idx val="5"/>
              <c:tx>
                <c:rich>
                  <a:bodyPr/>
                  <a:lstStyle/>
                  <a:p>
                    <a:fld id="{889C848A-0648-49FA-80DE-102614D3CD9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500-4D6B-AE1A-10A7C7B28FD6}"/>
                </c:ext>
              </c:extLst>
            </c:dLbl>
            <c:dLbl>
              <c:idx val="6"/>
              <c:tx>
                <c:rich>
                  <a:bodyPr/>
                  <a:lstStyle/>
                  <a:p>
                    <a:fld id="{4BDA70FB-458A-4154-9EAB-5BAFEB74DF1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500-4D6B-AE1A-10A7C7B28FD6}"/>
                </c:ext>
              </c:extLst>
            </c:dLbl>
            <c:dLbl>
              <c:idx val="7"/>
              <c:tx>
                <c:rich>
                  <a:bodyPr/>
                  <a:lstStyle/>
                  <a:p>
                    <a:fld id="{94A5D8F2-3056-4AC8-91E0-87ECE13F027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500-4D6B-AE1A-10A7C7B28FD6}"/>
                </c:ext>
              </c:extLst>
            </c:dLbl>
            <c:dLbl>
              <c:idx val="8"/>
              <c:tx>
                <c:rich>
                  <a:bodyPr/>
                  <a:lstStyle/>
                  <a:p>
                    <a:fld id="{101C1A88-0253-411C-9D96-75ECAC636DFC}"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500-4D6B-AE1A-10A7C7B28FD6}"/>
                </c:ext>
              </c:extLst>
            </c:dLbl>
            <c:dLbl>
              <c:idx val="9"/>
              <c:tx>
                <c:rich>
                  <a:bodyPr/>
                  <a:lstStyle/>
                  <a:p>
                    <a:fld id="{A66D20B2-C601-47F2-A13E-0DE664924E1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500-4D6B-AE1A-10A7C7B28FD6}"/>
                </c:ext>
              </c:extLst>
            </c:dLbl>
            <c:dLbl>
              <c:idx val="10"/>
              <c:tx>
                <c:rich>
                  <a:bodyPr/>
                  <a:lstStyle/>
                  <a:p>
                    <a:fld id="{50AE1C8B-7262-4D84-B237-8B79E278C070}"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500-4D6B-AE1A-10A7C7B28FD6}"/>
                </c:ext>
              </c:extLst>
            </c:dLbl>
            <c:dLbl>
              <c:idx val="11"/>
              <c:tx>
                <c:rich>
                  <a:bodyPr/>
                  <a:lstStyle/>
                  <a:p>
                    <a:fld id="{B5114CEF-D132-4AC3-BF64-671E21E02BC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500-4D6B-AE1A-10A7C7B28FD6}"/>
                </c:ext>
              </c:extLst>
            </c:dLbl>
            <c:dLbl>
              <c:idx val="12"/>
              <c:tx>
                <c:rich>
                  <a:bodyPr/>
                  <a:lstStyle/>
                  <a:p>
                    <a:fld id="{6C3384B7-15DD-4847-B157-8275525FAB8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500-4D6B-AE1A-10A7C7B28FD6}"/>
                </c:ext>
              </c:extLst>
            </c:dLbl>
            <c:dLbl>
              <c:idx val="13"/>
              <c:tx>
                <c:rich>
                  <a:bodyPr/>
                  <a:lstStyle/>
                  <a:p>
                    <a:fld id="{61E6EF33-E604-4098-A77F-53C95B14DEB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500-4D6B-AE1A-10A7C7B28FD6}"/>
                </c:ext>
              </c:extLst>
            </c:dLbl>
            <c:dLbl>
              <c:idx val="14"/>
              <c:tx>
                <c:rich>
                  <a:bodyPr/>
                  <a:lstStyle/>
                  <a:p>
                    <a:fld id="{10B18DEA-ACD3-4B3D-8B15-1D61E823CBD6}"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500-4D6B-AE1A-10A7C7B28FD6}"/>
                </c:ext>
              </c:extLst>
            </c:dLbl>
            <c:dLbl>
              <c:idx val="15"/>
              <c:tx>
                <c:rich>
                  <a:bodyPr/>
                  <a:lstStyle/>
                  <a:p>
                    <a:fld id="{D00EB951-CDA5-418A-960B-FBA2C84AEB26}"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500-4D6B-AE1A-10A7C7B28FD6}"/>
                </c:ext>
              </c:extLst>
            </c:dLbl>
            <c:dLbl>
              <c:idx val="16"/>
              <c:tx>
                <c:rich>
                  <a:bodyPr/>
                  <a:lstStyle/>
                  <a:p>
                    <a:fld id="{D1C21704-3E9D-4D28-A7C3-46CC3AD9891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500-4D6B-AE1A-10A7C7B28FD6}"/>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Pivot_tables!$J$6:$J$22</c:f>
              <c:numCache>
                <c:formatCode>"$"#,##0_);\("$"#,##0\)</c:formatCode>
                <c:ptCount val="17"/>
                <c:pt idx="0">
                  <c:v>82201.149999999994</c:v>
                </c:pt>
                <c:pt idx="1">
                  <c:v>185928.14</c:v>
                </c:pt>
                <c:pt idx="2">
                  <c:v>107796.09</c:v>
                </c:pt>
                <c:pt idx="3">
                  <c:v>241200.42</c:v>
                </c:pt>
                <c:pt idx="4">
                  <c:v>96261.3</c:v>
                </c:pt>
                <c:pt idx="5">
                  <c:v>99069.48</c:v>
                </c:pt>
                <c:pt idx="6">
                  <c:v>10479.77</c:v>
                </c:pt>
                <c:pt idx="7">
                  <c:v>4914.82</c:v>
                </c:pt>
                <c:pt idx="8">
                  <c:v>98070.91</c:v>
                </c:pt>
                <c:pt idx="9">
                  <c:v>318169.68</c:v>
                </c:pt>
                <c:pt idx="10">
                  <c:v>55813.919999999998</c:v>
                </c:pt>
                <c:pt idx="11">
                  <c:v>26071.61</c:v>
                </c:pt>
                <c:pt idx="12">
                  <c:v>1789.43</c:v>
                </c:pt>
                <c:pt idx="13">
                  <c:v>6752.18</c:v>
                </c:pt>
                <c:pt idx="14">
                  <c:v>175730.05</c:v>
                </c:pt>
                <c:pt idx="15">
                  <c:v>172511.33</c:v>
                </c:pt>
                <c:pt idx="16">
                  <c:v>198764.49</c:v>
                </c:pt>
              </c:numCache>
            </c:numRef>
          </c:bubbleSize>
          <c:bubble3D val="0"/>
          <c:extLst>
            <c:ext xmlns:c15="http://schemas.microsoft.com/office/drawing/2012/chart" uri="{02D57815-91ED-43cb-92C2-25804820EDAC}">
              <c15:datalabelsRange>
                <c15:f>Pivot_tables!$L$6:$L$22</c15:f>
                <c15:dlblRangeCache>
                  <c:ptCount val="17"/>
                  <c:pt idx="0">
                    <c:v>$82,201</c:v>
                  </c:pt>
                  <c:pt idx="1">
                    <c:v>$185,928</c:v>
                  </c:pt>
                  <c:pt idx="2">
                    <c:v>$107,796</c:v>
                  </c:pt>
                  <c:pt idx="3">
                    <c:v>$241,200</c:v>
                  </c:pt>
                  <c:pt idx="4">
                    <c:v>$96,261</c:v>
                  </c:pt>
                  <c:pt idx="5">
                    <c:v>$99,069</c:v>
                  </c:pt>
                  <c:pt idx="6">
                    <c:v>$10,480</c:v>
                  </c:pt>
                  <c:pt idx="7">
                    <c:v>$4,915</c:v>
                  </c:pt>
                  <c:pt idx="8">
                    <c:v>$98,071</c:v>
                  </c:pt>
                  <c:pt idx="10">
                    <c:v>$55,814</c:v>
                  </c:pt>
                  <c:pt idx="11">
                    <c:v>$26,072</c:v>
                  </c:pt>
                  <c:pt idx="12">
                    <c:v>$1,789</c:v>
                  </c:pt>
                  <c:pt idx="13">
                    <c:v>$6,752</c:v>
                  </c:pt>
                  <c:pt idx="14">
                    <c:v>$175,730</c:v>
                  </c:pt>
                  <c:pt idx="15">
                    <c:v>$172,511</c:v>
                  </c:pt>
                  <c:pt idx="16">
                    <c:v>$198,764</c:v>
                  </c:pt>
                </c15:dlblRangeCache>
              </c15:datalabelsRange>
            </c:ext>
            <c:ext xmlns:c16="http://schemas.microsoft.com/office/drawing/2014/chart" uri="{C3380CC4-5D6E-409C-BE32-E72D297353CC}">
              <c16:uniqueId val="{00000011-4500-4D6B-AE1A-10A7C7B28FD6}"/>
            </c:ext>
          </c:extLst>
        </c:ser>
        <c:ser>
          <c:idx val="1"/>
          <c:order val="1"/>
          <c:tx>
            <c:v>Max Sales</c:v>
          </c:tx>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invertIfNegative val="0"/>
          <c:dLbls>
            <c:dLbl>
              <c:idx val="0"/>
              <c:tx>
                <c:rich>
                  <a:bodyPr/>
                  <a:lstStyle/>
                  <a:p>
                    <a:fld id="{995BB574-5595-4B1A-9ECA-E7A88619179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500-4D6B-AE1A-10A7C7B28FD6}"/>
                </c:ext>
              </c:extLst>
            </c:dLbl>
            <c:dLbl>
              <c:idx val="1"/>
              <c:tx>
                <c:rich>
                  <a:bodyPr/>
                  <a:lstStyle/>
                  <a:p>
                    <a:fld id="{3C2CC7C3-C722-46EF-B0C8-01CAA9CA5C79}"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4500-4D6B-AE1A-10A7C7B28FD6}"/>
                </c:ext>
              </c:extLst>
            </c:dLbl>
            <c:dLbl>
              <c:idx val="2"/>
              <c:tx>
                <c:rich>
                  <a:bodyPr/>
                  <a:lstStyle/>
                  <a:p>
                    <a:fld id="{EEAF7327-53BD-4145-8E5A-CA3AC4517F9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4500-4D6B-AE1A-10A7C7B28FD6}"/>
                </c:ext>
              </c:extLst>
            </c:dLbl>
            <c:dLbl>
              <c:idx val="3"/>
              <c:tx>
                <c:rich>
                  <a:bodyPr/>
                  <a:lstStyle/>
                  <a:p>
                    <a:fld id="{62128E7D-58FC-45F0-9A28-6601E91136D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500-4D6B-AE1A-10A7C7B28FD6}"/>
                </c:ext>
              </c:extLst>
            </c:dLbl>
            <c:dLbl>
              <c:idx val="4"/>
              <c:tx>
                <c:rich>
                  <a:bodyPr/>
                  <a:lstStyle/>
                  <a:p>
                    <a:fld id="{68C962D2-5084-4E09-8ECD-A7A7EC1ADDD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500-4D6B-AE1A-10A7C7B28FD6}"/>
                </c:ext>
              </c:extLst>
            </c:dLbl>
            <c:dLbl>
              <c:idx val="5"/>
              <c:tx>
                <c:rich>
                  <a:bodyPr/>
                  <a:lstStyle/>
                  <a:p>
                    <a:fld id="{80218FAE-FC8E-4874-B300-D37E7401EAF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4500-4D6B-AE1A-10A7C7B28FD6}"/>
                </c:ext>
              </c:extLst>
            </c:dLbl>
            <c:dLbl>
              <c:idx val="6"/>
              <c:tx>
                <c:rich>
                  <a:bodyPr/>
                  <a:lstStyle/>
                  <a:p>
                    <a:fld id="{4D138856-7C31-4F57-BB79-C9F0113428AE}"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4500-4D6B-AE1A-10A7C7B28FD6}"/>
                </c:ext>
              </c:extLst>
            </c:dLbl>
            <c:dLbl>
              <c:idx val="7"/>
              <c:tx>
                <c:rich>
                  <a:bodyPr/>
                  <a:lstStyle/>
                  <a:p>
                    <a:fld id="{A4CE7C70-5420-4B7E-949B-E94354416FDA}"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4500-4D6B-AE1A-10A7C7B28FD6}"/>
                </c:ext>
              </c:extLst>
            </c:dLbl>
            <c:dLbl>
              <c:idx val="8"/>
              <c:tx>
                <c:rich>
                  <a:bodyPr/>
                  <a:lstStyle/>
                  <a:p>
                    <a:fld id="{76550BB8-800D-4ED8-9FF2-B20A39F8299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4500-4D6B-AE1A-10A7C7B28FD6}"/>
                </c:ext>
              </c:extLst>
            </c:dLbl>
            <c:dLbl>
              <c:idx val="9"/>
              <c:tx>
                <c:rich>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fld id="{42384A86-B1ED-4506-984A-0E02688D1C8C}" type="CELLRANGE">
                      <a:rPr lang="en-CA"/>
                      <a:pPr>
                        <a:defRPr sz="1400">
                          <a:solidFill>
                            <a:schemeClr val="bg1"/>
                          </a:solidFill>
                          <a:latin typeface="Avenir Next LT Pro" panose="020B0504020202020204" pitchFamily="34" charset="0"/>
                        </a:defRPr>
                      </a:pPr>
                      <a:t>[CELLRANGE]</a:t>
                    </a:fld>
                    <a:endParaRPr lang="en-CA"/>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500-4D6B-AE1A-10A7C7B28FD6}"/>
                </c:ext>
              </c:extLst>
            </c:dLbl>
            <c:dLbl>
              <c:idx val="10"/>
              <c:tx>
                <c:rich>
                  <a:bodyPr/>
                  <a:lstStyle/>
                  <a:p>
                    <a:fld id="{9F4E8E04-6270-469B-B72E-C979E70CD308}"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4500-4D6B-AE1A-10A7C7B28FD6}"/>
                </c:ext>
              </c:extLst>
            </c:dLbl>
            <c:dLbl>
              <c:idx val="11"/>
              <c:tx>
                <c:rich>
                  <a:bodyPr/>
                  <a:lstStyle/>
                  <a:p>
                    <a:fld id="{C4090DAE-AEAF-43B2-B622-EBB438C8B12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4500-4D6B-AE1A-10A7C7B28FD6}"/>
                </c:ext>
              </c:extLst>
            </c:dLbl>
            <c:dLbl>
              <c:idx val="12"/>
              <c:tx>
                <c:rich>
                  <a:bodyPr/>
                  <a:lstStyle/>
                  <a:p>
                    <a:fld id="{7CE81185-E38C-4C43-970F-11DF36883792}"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4500-4D6B-AE1A-10A7C7B28FD6}"/>
                </c:ext>
              </c:extLst>
            </c:dLbl>
            <c:dLbl>
              <c:idx val="13"/>
              <c:tx>
                <c:rich>
                  <a:bodyPr/>
                  <a:lstStyle/>
                  <a:p>
                    <a:fld id="{A53A43B9-B155-478A-A2F5-C10E82115527}"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4500-4D6B-AE1A-10A7C7B28FD6}"/>
                </c:ext>
              </c:extLst>
            </c:dLbl>
            <c:dLbl>
              <c:idx val="14"/>
              <c:tx>
                <c:rich>
                  <a:bodyPr/>
                  <a:lstStyle/>
                  <a:p>
                    <a:fld id="{24407DD8-1E6B-4946-A8A0-14DD07E8770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500-4D6B-AE1A-10A7C7B28FD6}"/>
                </c:ext>
              </c:extLst>
            </c:dLbl>
            <c:dLbl>
              <c:idx val="15"/>
              <c:tx>
                <c:rich>
                  <a:bodyPr/>
                  <a:lstStyle/>
                  <a:p>
                    <a:fld id="{DF2EAD2B-E53A-42CF-AF82-7F6A45756A9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500-4D6B-AE1A-10A7C7B28FD6}"/>
                </c:ext>
              </c:extLst>
            </c:dLbl>
            <c:dLbl>
              <c:idx val="16"/>
              <c:tx>
                <c:rich>
                  <a:bodyPr/>
                  <a:lstStyle/>
                  <a:p>
                    <a:fld id="{62046026-0D5E-4F0F-95AB-44203C529B2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500-4D6B-AE1A-10A7C7B28FD6}"/>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Pivot_tables!$K$6:$K$22</c:f>
              <c:numCache>
                <c:formatCode>"$"#,##0</c:formatCode>
                <c:ptCount val="17"/>
                <c:pt idx="0">
                  <c:v>0</c:v>
                </c:pt>
                <c:pt idx="1">
                  <c:v>0</c:v>
                </c:pt>
                <c:pt idx="2">
                  <c:v>0</c:v>
                </c:pt>
                <c:pt idx="3">
                  <c:v>0</c:v>
                </c:pt>
                <c:pt idx="4">
                  <c:v>0</c:v>
                </c:pt>
                <c:pt idx="5">
                  <c:v>0</c:v>
                </c:pt>
                <c:pt idx="6">
                  <c:v>0</c:v>
                </c:pt>
                <c:pt idx="7">
                  <c:v>0</c:v>
                </c:pt>
                <c:pt idx="8">
                  <c:v>0</c:v>
                </c:pt>
                <c:pt idx="9">
                  <c:v>318169.68</c:v>
                </c:pt>
                <c:pt idx="10">
                  <c:v>0</c:v>
                </c:pt>
                <c:pt idx="11">
                  <c:v>0</c:v>
                </c:pt>
                <c:pt idx="12">
                  <c:v>0</c:v>
                </c:pt>
                <c:pt idx="13">
                  <c:v>0</c:v>
                </c:pt>
                <c:pt idx="14">
                  <c:v>0</c:v>
                </c:pt>
                <c:pt idx="15">
                  <c:v>0</c:v>
                </c:pt>
                <c:pt idx="16">
                  <c:v>0</c:v>
                </c:pt>
              </c:numCache>
            </c:numRef>
          </c:bubbleSize>
          <c:bubble3D val="0"/>
          <c:extLst>
            <c:ext xmlns:c15="http://schemas.microsoft.com/office/drawing/2012/chart" uri="{02D57815-91ED-43cb-92C2-25804820EDAC}">
              <c15:datalabelsRange>
                <c15:f>Pivot_tables!$K$6:$K$22</c15:f>
                <c15:dlblRangeCache>
                  <c:ptCount val="17"/>
                  <c:pt idx="9">
                    <c:v>$318,170</c:v>
                  </c:pt>
                </c15:dlblRangeCache>
              </c15:datalabelsRange>
            </c:ext>
            <c:ext xmlns:c16="http://schemas.microsoft.com/office/drawing/2014/chart" uri="{C3380CC4-5D6E-409C-BE32-E72D297353CC}">
              <c16:uniqueId val="{00000023-4500-4D6B-AE1A-10A7C7B28FD6}"/>
            </c:ext>
          </c:extLst>
        </c:ser>
        <c:dLbls>
          <c:showLegendKey val="0"/>
          <c:showVal val="0"/>
          <c:showCatName val="0"/>
          <c:showSerName val="0"/>
          <c:showPercent val="0"/>
          <c:showBubbleSize val="0"/>
        </c:dLbls>
        <c:bubbleScale val="60"/>
        <c:showNegBubbles val="0"/>
        <c:axId val="697472991"/>
        <c:axId val="1631463615"/>
      </c:bubbleChart>
      <c:valAx>
        <c:axId val="697472991"/>
        <c:scaling>
          <c:orientation val="minMax"/>
          <c:max val="30"/>
          <c:min val="-3"/>
        </c:scaling>
        <c:delete val="1"/>
        <c:axPos val="b"/>
        <c:numFmt formatCode="General" sourceLinked="1"/>
        <c:majorTickMark val="out"/>
        <c:minorTickMark val="none"/>
        <c:tickLblPos val="nextTo"/>
        <c:crossAx val="1631463615"/>
        <c:crosses val="autoZero"/>
        <c:crossBetween val="midCat"/>
      </c:valAx>
      <c:valAx>
        <c:axId val="1631463615"/>
        <c:scaling>
          <c:orientation val="minMax"/>
          <c:max val="25"/>
          <c:min val="-1"/>
        </c:scaling>
        <c:delete val="1"/>
        <c:axPos val="l"/>
        <c:numFmt formatCode="General" sourceLinked="1"/>
        <c:majorTickMark val="out"/>
        <c:minorTickMark val="none"/>
        <c:tickLblPos val="nextTo"/>
        <c:crossAx val="69747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[Data_Analysis_Project_Superstore_SaurabhLakhanpal.xlsm]Pivot_tables!Sales&amp;Profit_BarChart</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3000">
                <a:srgbClr val="9BF8F2">
                  <a:alpha val="55686"/>
                </a:srgbClr>
              </a:gs>
              <a:gs pos="100000">
                <a:srgbClr val="C240D8"/>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28018815415397E-2"/>
          <c:y val="5.1494432761122248E-2"/>
          <c:w val="0.91534396236916915"/>
          <c:h val="0.89701113447775549"/>
        </c:manualLayout>
      </c:layout>
      <c:barChart>
        <c:barDir val="bar"/>
        <c:grouping val="clustered"/>
        <c:varyColors val="0"/>
        <c:ser>
          <c:idx val="0"/>
          <c:order val="0"/>
          <c:tx>
            <c:strRef>
              <c:f>Pivot_tables!$G$27</c:f>
              <c:strCache>
                <c:ptCount val="1"/>
                <c:pt idx="0">
                  <c:v>Total</c:v>
                </c:pt>
              </c:strCache>
            </c:strRef>
          </c:tx>
          <c:spPr>
            <a:gradFill flip="none" rotWithShape="1">
              <a:gsLst>
                <a:gs pos="33000">
                  <a:srgbClr val="9BF8F2">
                    <a:alpha val="55686"/>
                  </a:srgbClr>
                </a:gs>
                <a:gs pos="100000">
                  <a:srgbClr val="C240D8"/>
                </a:gs>
              </a:gsLst>
              <a:lin ang="0" scaled="1"/>
              <a:tileRect/>
            </a:gradFill>
            <a:ln>
              <a:noFill/>
            </a:ln>
            <a:effectLst/>
          </c:spPr>
          <c:invertIfNegative val="0"/>
          <c:cat>
            <c:strRef>
              <c:f>Pivot_tables!$F$28:$F$34</c:f>
              <c:strCache>
                <c:ptCount val="6"/>
                <c:pt idx="0">
                  <c:v>Jan</c:v>
                </c:pt>
                <c:pt idx="1">
                  <c:v>Feb</c:v>
                </c:pt>
                <c:pt idx="2">
                  <c:v>Mar</c:v>
                </c:pt>
                <c:pt idx="3">
                  <c:v>Apr</c:v>
                </c:pt>
                <c:pt idx="4">
                  <c:v>May</c:v>
                </c:pt>
                <c:pt idx="5">
                  <c:v>Jun</c:v>
                </c:pt>
              </c:strCache>
            </c:strRef>
          </c:cat>
          <c:val>
            <c:numRef>
              <c:f>Pivot_tables!$G$28:$G$34</c:f>
              <c:numCache>
                <c:formatCode>_-* #,##0_-;\-* #,##0_-;_-* "-"??_-;_-@_-</c:formatCode>
                <c:ptCount val="6"/>
                <c:pt idx="0">
                  <c:v>-657.53850031999514</c:v>
                </c:pt>
                <c:pt idx="1">
                  <c:v>36266.168780320018</c:v>
                </c:pt>
                <c:pt idx="2">
                  <c:v>1881.8305867500003</c:v>
                </c:pt>
                <c:pt idx="3">
                  <c:v>50182.103101999965</c:v>
                </c:pt>
                <c:pt idx="4">
                  <c:v>61026.94915840005</c:v>
                </c:pt>
                <c:pt idx="5">
                  <c:v>66323.886610000001</c:v>
                </c:pt>
              </c:numCache>
            </c:numRef>
          </c:val>
          <c:extLst>
            <c:ext xmlns:c16="http://schemas.microsoft.com/office/drawing/2014/chart" uri="{C3380CC4-5D6E-409C-BE32-E72D297353CC}">
              <c16:uniqueId val="{00000000-31E0-4C58-B473-A3EB2B45E16B}"/>
            </c:ext>
          </c:extLst>
        </c:ser>
        <c:dLbls>
          <c:showLegendKey val="0"/>
          <c:showVal val="0"/>
          <c:showCatName val="0"/>
          <c:showSerName val="0"/>
          <c:showPercent val="0"/>
          <c:showBubbleSize val="0"/>
        </c:dLbls>
        <c:gapWidth val="200"/>
        <c:axId val="654989279"/>
        <c:axId val="656499919"/>
      </c:barChart>
      <c:catAx>
        <c:axId val="654989279"/>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656499919"/>
        <c:crosses val="autoZero"/>
        <c:auto val="1"/>
        <c:lblAlgn val="ctr"/>
        <c:lblOffset val="0"/>
        <c:noMultiLvlLbl val="0"/>
      </c:catAx>
      <c:valAx>
        <c:axId val="656499919"/>
        <c:scaling>
          <c:orientation val="minMax"/>
        </c:scaling>
        <c:delete val="1"/>
        <c:axPos val="b"/>
        <c:numFmt formatCode="_-* #,##0_-;\-* #,##0_-;_-* &quot;-&quot;??_-;_-@_-" sourceLinked="1"/>
        <c:majorTickMark val="none"/>
        <c:minorTickMark val="none"/>
        <c:tickLblPos val="nextTo"/>
        <c:crossAx val="65498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[Data_Analysis_Project_Superstore_SaurabhLakhanpal.xlsm]Pivot_tables!Sales&amp;Profit_SmallDonut</c:name>
    <c:fmtId val="39"/>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9BF8F2"/>
          </a:solidFill>
          <a:ln>
            <a:solidFill>
              <a:srgbClr val="9BF8F2"/>
            </a:solidFill>
          </a:ln>
          <a:effectLst>
            <a:outerShdw blurRad="254000" sx="102000" sy="102000" algn="ctr" rotWithShape="0">
              <a:prstClr val="black">
                <a:alpha val="20000"/>
              </a:prstClr>
            </a:outerShdw>
          </a:effectLst>
        </c:spPr>
      </c:pivotFmt>
      <c:pivotFmt>
        <c:idx val="8"/>
        <c:spPr>
          <a:solidFill>
            <a:srgbClr val="7417BD"/>
          </a:solidFill>
          <a:ln>
            <a:solidFill>
              <a:srgbClr val="7417BD"/>
            </a:solidFill>
          </a:ln>
          <a:effectLst>
            <a:outerShdw blurRad="254000" sx="102000" sy="102000" algn="ctr" rotWithShape="0">
              <a:prstClr val="black">
                <a:alpha val="20000"/>
              </a:prstClr>
            </a:outerShdw>
          </a:effectLst>
        </c:spPr>
      </c:pivotFmt>
      <c:pivotFmt>
        <c:idx val="9"/>
        <c:spPr>
          <a:solidFill>
            <a:srgbClr val="194AFE"/>
          </a:solidFill>
          <a:ln>
            <a:solidFill>
              <a:srgbClr val="194AFE"/>
            </a:solidFill>
          </a:ln>
          <a:effectLst>
            <a:outerShdw blurRad="254000" sx="102000" sy="102000" algn="ctr" rotWithShape="0">
              <a:prstClr val="black">
                <a:alpha val="20000"/>
              </a:prstClr>
            </a:outerShdw>
          </a:effectLst>
        </c:spPr>
      </c:pivotFmt>
      <c:pivotFmt>
        <c:idx val="10"/>
        <c:spPr>
          <a:solidFill>
            <a:srgbClr val="C240D8"/>
          </a:solidFill>
          <a:ln>
            <a:solidFill>
              <a:srgbClr val="C240D8"/>
            </a:solidFill>
          </a:ln>
          <a:effectLst>
            <a:outerShdw blurRad="254000" sx="102000" sy="102000" algn="ctr" rotWithShape="0">
              <a:prstClr val="black">
                <a:alpha val="20000"/>
              </a:prstClr>
            </a:outerShdw>
          </a:effectLst>
        </c:spPr>
      </c:pivotFmt>
    </c:pivotFmts>
    <c:plotArea>
      <c:layout>
        <c:manualLayout>
          <c:layoutTarget val="inner"/>
          <c:xMode val="edge"/>
          <c:yMode val="edge"/>
          <c:x val="0.10805788746233728"/>
          <c:y val="0.27402316346144467"/>
          <c:w val="0.80492540842911253"/>
          <c:h val="0.32134651773179518"/>
        </c:manualLayout>
      </c:layout>
      <c:doughnutChart>
        <c:varyColors val="1"/>
        <c:ser>
          <c:idx val="0"/>
          <c:order val="0"/>
          <c:tx>
            <c:strRef>
              <c:f>Pivot_tables!$J$27</c:f>
              <c:strCache>
                <c:ptCount val="1"/>
                <c:pt idx="0">
                  <c:v>Total</c:v>
                </c:pt>
              </c:strCache>
            </c:strRef>
          </c:tx>
          <c:dPt>
            <c:idx val="0"/>
            <c:bubble3D val="0"/>
            <c:spPr>
              <a:solidFill>
                <a:srgbClr val="9BF8F2"/>
              </a:solidFill>
              <a:ln>
                <a:solidFill>
                  <a:srgbClr val="9BF8F2"/>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C1F-417A-AD39-3A96F5354244}"/>
              </c:ext>
            </c:extLst>
          </c:dPt>
          <c:dPt>
            <c:idx val="1"/>
            <c:bubble3D val="0"/>
            <c:spPr>
              <a:solidFill>
                <a:srgbClr val="7417BD"/>
              </a:solidFill>
              <a:ln>
                <a:solidFill>
                  <a:srgbClr val="7417BD"/>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C1F-417A-AD39-3A96F5354244}"/>
              </c:ext>
            </c:extLst>
          </c:dPt>
          <c:dPt>
            <c:idx val="2"/>
            <c:bubble3D val="0"/>
            <c:spPr>
              <a:solidFill>
                <a:srgbClr val="194AFE"/>
              </a:solidFill>
              <a:ln>
                <a:solidFill>
                  <a:srgbClr val="194AFE"/>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C1F-417A-AD39-3A96F5354244}"/>
              </c:ext>
            </c:extLst>
          </c:dPt>
          <c:dPt>
            <c:idx val="3"/>
            <c:bubble3D val="0"/>
            <c:spPr>
              <a:solidFill>
                <a:srgbClr val="C240D8"/>
              </a:solidFill>
              <a:ln>
                <a:solidFill>
                  <a:srgbClr val="C240D8"/>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C1F-417A-AD39-3A96F5354244}"/>
              </c:ext>
            </c:extLst>
          </c:dPt>
          <c:cat>
            <c:strRef>
              <c:f>Pivot_tables!$I$28:$I$32</c:f>
              <c:strCache>
                <c:ptCount val="4"/>
                <c:pt idx="0">
                  <c:v>Central</c:v>
                </c:pt>
                <c:pt idx="1">
                  <c:v>East</c:v>
                </c:pt>
                <c:pt idx="2">
                  <c:v>South</c:v>
                </c:pt>
                <c:pt idx="3">
                  <c:v>West</c:v>
                </c:pt>
              </c:strCache>
            </c:strRef>
          </c:cat>
          <c:val>
            <c:numRef>
              <c:f>Pivot_tables!$J$28:$J$32</c:f>
              <c:numCache>
                <c:formatCode>_-* #,##0_-;\-* #,##0_-;_-* "-"??_-;_-@_-</c:formatCode>
                <c:ptCount val="4"/>
                <c:pt idx="0">
                  <c:v>78645.775268599988</c:v>
                </c:pt>
                <c:pt idx="1">
                  <c:v>85577.445845999988</c:v>
                </c:pt>
                <c:pt idx="2">
                  <c:v>-17431.355779449979</c:v>
                </c:pt>
                <c:pt idx="3">
                  <c:v>68231.53440199999</c:v>
                </c:pt>
              </c:numCache>
            </c:numRef>
          </c:val>
          <c:extLst>
            <c:ext xmlns:c16="http://schemas.microsoft.com/office/drawing/2014/chart" uri="{C3380CC4-5D6E-409C-BE32-E72D297353CC}">
              <c16:uniqueId val="{00000008-CC1F-417A-AD39-3A96F535424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[Data_Analysis_Project_Superstore_SaurabhLakhanpal.xlsm]Pivot_tables!Sales&amp;Profit_TrendChart</c:name>
    <c:fmtId val="18"/>
  </c:pivotSource>
  <c:chart>
    <c:autoTitleDeleted val="0"/>
    <c:pivotFmts>
      <c:pivotFmt>
        <c:idx val="0"/>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3000">
                <a:srgbClr val="194AFE"/>
              </a:gs>
              <a:gs pos="100000">
                <a:schemeClr val="tx1">
                  <a:alpha val="49000"/>
                </a:schemeClr>
              </a:gs>
            </a:gsLst>
            <a:lin ang="5400000" scaled="0"/>
            <a:tileRect/>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194AFE"/>
            </a:solidFill>
            <a:round/>
          </a:ln>
          <a:effectLst/>
        </c:spPr>
        <c:marker>
          <c:symbol val="none"/>
        </c:marker>
      </c:pivotFmt>
    </c:pivotFmts>
    <c:plotArea>
      <c:layout>
        <c:manualLayout>
          <c:layoutTarget val="inner"/>
          <c:xMode val="edge"/>
          <c:yMode val="edge"/>
          <c:x val="9.5984185182959147E-4"/>
          <c:y val="2.6685755189692201E-2"/>
          <c:w val="0.99904015814817038"/>
          <c:h val="0.96353137675972311"/>
        </c:manualLayout>
      </c:layout>
      <c:areaChart>
        <c:grouping val="standard"/>
        <c:varyColors val="0"/>
        <c:ser>
          <c:idx val="1"/>
          <c:order val="1"/>
          <c:tx>
            <c:strRef>
              <c:f>Pivot_tables!$D$27</c:f>
              <c:strCache>
                <c:ptCount val="1"/>
                <c:pt idx="0">
                  <c:v>Sum of Sales</c:v>
                </c:pt>
              </c:strCache>
            </c:strRef>
          </c:tx>
          <c:spPr>
            <a:gradFill flip="none" rotWithShape="1">
              <a:gsLst>
                <a:gs pos="33000">
                  <a:srgbClr val="194AFE"/>
                </a:gs>
                <a:gs pos="100000">
                  <a:schemeClr val="tx1">
                    <a:alpha val="49000"/>
                  </a:schemeClr>
                </a:gs>
              </a:gsLst>
              <a:lin ang="5400000" scaled="0"/>
              <a:tileRect/>
            </a:gradFill>
            <a:ln w="12700">
              <a:noFill/>
            </a:ln>
            <a:effectLst/>
          </c:spPr>
          <c:cat>
            <c:strRef>
              <c:f>Pivot_tables!$B$28:$B$34</c:f>
              <c:strCache>
                <c:ptCount val="6"/>
                <c:pt idx="0">
                  <c:v>Jan</c:v>
                </c:pt>
                <c:pt idx="1">
                  <c:v>Feb</c:v>
                </c:pt>
                <c:pt idx="2">
                  <c:v>Mar</c:v>
                </c:pt>
                <c:pt idx="3">
                  <c:v>Apr</c:v>
                </c:pt>
                <c:pt idx="4">
                  <c:v>May</c:v>
                </c:pt>
                <c:pt idx="5">
                  <c:v>Jun</c:v>
                </c:pt>
              </c:strCache>
            </c:strRef>
          </c:cat>
          <c:val>
            <c:numRef>
              <c:f>Pivot_tables!$D$28:$D$34</c:f>
              <c:numCache>
                <c:formatCode>_-* #,##0_-;\-* #,##0_-;_-* "-"??_-;_-@_-</c:formatCode>
                <c:ptCount val="6"/>
                <c:pt idx="0">
                  <c:v>264998.55</c:v>
                </c:pt>
                <c:pt idx="1">
                  <c:v>325502.44</c:v>
                </c:pt>
                <c:pt idx="2">
                  <c:v>265167.13</c:v>
                </c:pt>
                <c:pt idx="3">
                  <c:v>384029.19</c:v>
                </c:pt>
                <c:pt idx="4">
                  <c:v>290230.84999999998</c:v>
                </c:pt>
                <c:pt idx="5">
                  <c:v>351596.61</c:v>
                </c:pt>
              </c:numCache>
            </c:numRef>
          </c:val>
          <c:extLst>
            <c:ext xmlns:c16="http://schemas.microsoft.com/office/drawing/2014/chart" uri="{C3380CC4-5D6E-409C-BE32-E72D297353CC}">
              <c16:uniqueId val="{00000000-3753-4273-88B3-8AAF91C50BCF}"/>
            </c:ext>
          </c:extLst>
        </c:ser>
        <c:dLbls>
          <c:showLegendKey val="0"/>
          <c:showVal val="0"/>
          <c:showCatName val="0"/>
          <c:showSerName val="0"/>
          <c:showPercent val="0"/>
          <c:showBubbleSize val="0"/>
        </c:dLbls>
        <c:axId val="2053839215"/>
        <c:axId val="825637871"/>
      </c:areaChart>
      <c:lineChart>
        <c:grouping val="standard"/>
        <c:varyColors val="0"/>
        <c:ser>
          <c:idx val="0"/>
          <c:order val="0"/>
          <c:tx>
            <c:strRef>
              <c:f>Pivot_tables!$C$27</c:f>
              <c:strCache>
                <c:ptCount val="1"/>
                <c:pt idx="0">
                  <c:v>Sales</c:v>
                </c:pt>
              </c:strCache>
            </c:strRef>
          </c:tx>
          <c:spPr>
            <a:ln w="19050" cap="rnd">
              <a:solidFill>
                <a:srgbClr val="194AFE"/>
              </a:solidFill>
              <a:round/>
            </a:ln>
            <a:effectLst/>
          </c:spPr>
          <c:marker>
            <c:symbol val="none"/>
          </c:marker>
          <c:cat>
            <c:strRef>
              <c:f>Pivot_tables!$B$28:$B$34</c:f>
              <c:strCache>
                <c:ptCount val="6"/>
                <c:pt idx="0">
                  <c:v>Jan</c:v>
                </c:pt>
                <c:pt idx="1">
                  <c:v>Feb</c:v>
                </c:pt>
                <c:pt idx="2">
                  <c:v>Mar</c:v>
                </c:pt>
                <c:pt idx="3">
                  <c:v>Apr</c:v>
                </c:pt>
                <c:pt idx="4">
                  <c:v>May</c:v>
                </c:pt>
                <c:pt idx="5">
                  <c:v>Jun</c:v>
                </c:pt>
              </c:strCache>
            </c:strRef>
          </c:cat>
          <c:val>
            <c:numRef>
              <c:f>Pivot_tables!$C$28:$C$34</c:f>
              <c:numCache>
                <c:formatCode>_-* #,##0_-;\-* #,##0_-;_-* "-"??_-;_-@_-</c:formatCode>
                <c:ptCount val="6"/>
                <c:pt idx="0">
                  <c:v>264998.55</c:v>
                </c:pt>
                <c:pt idx="1">
                  <c:v>325502.44</c:v>
                </c:pt>
                <c:pt idx="2">
                  <c:v>265167.13</c:v>
                </c:pt>
                <c:pt idx="3">
                  <c:v>384029.19</c:v>
                </c:pt>
                <c:pt idx="4">
                  <c:v>290230.84999999998</c:v>
                </c:pt>
                <c:pt idx="5">
                  <c:v>351596.61</c:v>
                </c:pt>
              </c:numCache>
            </c:numRef>
          </c:val>
          <c:smooth val="0"/>
          <c:extLst>
            <c:ext xmlns:c16="http://schemas.microsoft.com/office/drawing/2014/chart" uri="{C3380CC4-5D6E-409C-BE32-E72D297353CC}">
              <c16:uniqueId val="{00000001-3753-4273-88B3-8AAF91C50BCF}"/>
            </c:ext>
          </c:extLst>
        </c:ser>
        <c:dLbls>
          <c:showLegendKey val="0"/>
          <c:showVal val="0"/>
          <c:showCatName val="0"/>
          <c:showSerName val="0"/>
          <c:showPercent val="0"/>
          <c:showBubbleSize val="0"/>
        </c:dLbls>
        <c:marker val="1"/>
        <c:smooth val="0"/>
        <c:axId val="2053839215"/>
        <c:axId val="825637871"/>
      </c:lineChart>
      <c:catAx>
        <c:axId val="2053839215"/>
        <c:scaling>
          <c:orientation val="minMax"/>
        </c:scaling>
        <c:delete val="1"/>
        <c:axPos val="b"/>
        <c:numFmt formatCode="General" sourceLinked="0"/>
        <c:majorTickMark val="out"/>
        <c:minorTickMark val="none"/>
        <c:tickLblPos val="nextTo"/>
        <c:crossAx val="825637871"/>
        <c:crosses val="autoZero"/>
        <c:auto val="1"/>
        <c:lblAlgn val="ctr"/>
        <c:lblOffset val="100"/>
        <c:noMultiLvlLbl val="0"/>
      </c:catAx>
      <c:valAx>
        <c:axId val="825637871"/>
        <c:scaling>
          <c:orientation val="minMax"/>
        </c:scaling>
        <c:delete val="1"/>
        <c:axPos val="l"/>
        <c:numFmt formatCode="_-* #,##0_-;\-* #,##0_-;_-* &quot;-&quot;??_-;_-@_-" sourceLinked="1"/>
        <c:majorTickMark val="out"/>
        <c:minorTickMark val="none"/>
        <c:tickLblPos val="nextTo"/>
        <c:crossAx val="205383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210777499768325E-2"/>
          <c:y val="4.1025654278426579E-3"/>
          <c:w val="0.9635784450004633"/>
          <c:h val="0.90572304646817592"/>
        </c:manualLayout>
      </c:layout>
      <c:scatterChart>
        <c:scatterStyle val="lineMarker"/>
        <c:varyColors val="0"/>
        <c:ser>
          <c:idx val="0"/>
          <c:order val="0"/>
          <c:tx>
            <c:strRef>
              <c:f>Pivot_tables!$AR$6</c:f>
              <c:strCache>
                <c:ptCount val="1"/>
                <c:pt idx="0">
                  <c:v> Sales </c:v>
                </c:pt>
              </c:strCache>
            </c:strRef>
          </c:tx>
          <c:spPr>
            <a:ln w="19050" cap="rnd">
              <a:solidFill>
                <a:srgbClr val="194AFE"/>
              </a:solidFill>
              <a:round/>
            </a:ln>
            <a:effectLst/>
          </c:spPr>
          <c:marker>
            <c:symbol val="circle"/>
            <c:size val="9"/>
            <c:spPr>
              <a:solidFill>
                <a:srgbClr val="D43260"/>
              </a:solidFill>
              <a:ln w="9525">
                <a:solidFill>
                  <a:schemeClr val="accent1"/>
                </a:solidFill>
              </a:ln>
              <a:effectLst/>
            </c:spPr>
          </c:marker>
          <c:dLbls>
            <c:dLbl>
              <c:idx val="30"/>
              <c:layout>
                <c:manualLayout>
                  <c:x val="-4.4097222222221144E-3"/>
                  <c:y val="-4.84617219174815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71-4B10-8AB7-A73A6C8757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6921B5"/>
                </a:solidFill>
                <a:prstDash val="sysDot"/>
              </a:ln>
              <a:effectLst/>
            </c:spPr>
            <c:trendlineType val="movingAvg"/>
            <c:period val="2"/>
            <c:dispRSqr val="0"/>
            <c:dispEq val="0"/>
          </c:trendline>
          <c:xVal>
            <c:numRef>
              <c:f>Pivot_tables!$AQ$7:$AQ$37</c:f>
              <c:numCache>
                <c:formatCode>[=0]"";dd/mmm</c:formatCode>
                <c:ptCount val="31"/>
                <c:pt idx="0">
                  <c:v>42005</c:v>
                </c:pt>
                <c:pt idx="1">
                  <c:v>42006</c:v>
                </c:pt>
                <c:pt idx="2">
                  <c:v>42007</c:v>
                </c:pt>
                <c:pt idx="3">
                  <c:v>42008</c:v>
                </c:pt>
                <c:pt idx="4">
                  <c:v>42009</c:v>
                </c:pt>
                <c:pt idx="5">
                  <c:v>42010</c:v>
                </c:pt>
                <c:pt idx="6">
                  <c:v>42011</c:v>
                </c:pt>
                <c:pt idx="7">
                  <c:v>42012</c:v>
                </c:pt>
                <c:pt idx="8">
                  <c:v>42013</c:v>
                </c:pt>
                <c:pt idx="9">
                  <c:v>42014</c:v>
                </c:pt>
                <c:pt idx="10">
                  <c:v>42015</c:v>
                </c:pt>
                <c:pt idx="11">
                  <c:v>42016</c:v>
                </c:pt>
                <c:pt idx="12">
                  <c:v>42017</c:v>
                </c:pt>
                <c:pt idx="13">
                  <c:v>42018</c:v>
                </c:pt>
                <c:pt idx="14">
                  <c:v>42019</c:v>
                </c:pt>
                <c:pt idx="15">
                  <c:v>42020</c:v>
                </c:pt>
                <c:pt idx="16">
                  <c:v>42021</c:v>
                </c:pt>
                <c:pt idx="17">
                  <c:v>42022</c:v>
                </c:pt>
                <c:pt idx="18">
                  <c:v>42023</c:v>
                </c:pt>
                <c:pt idx="19">
                  <c:v>42024</c:v>
                </c:pt>
                <c:pt idx="20">
                  <c:v>42025</c:v>
                </c:pt>
                <c:pt idx="21">
                  <c:v>42026</c:v>
                </c:pt>
                <c:pt idx="22">
                  <c:v>42027</c:v>
                </c:pt>
                <c:pt idx="23">
                  <c:v>42028</c:v>
                </c:pt>
                <c:pt idx="24">
                  <c:v>42029</c:v>
                </c:pt>
                <c:pt idx="25">
                  <c:v>42030</c:v>
                </c:pt>
                <c:pt idx="26">
                  <c:v>42031</c:v>
                </c:pt>
                <c:pt idx="27">
                  <c:v>42032</c:v>
                </c:pt>
                <c:pt idx="28">
                  <c:v>42033</c:v>
                </c:pt>
                <c:pt idx="29">
                  <c:v>42034</c:v>
                </c:pt>
                <c:pt idx="30">
                  <c:v>42035</c:v>
                </c:pt>
              </c:numCache>
            </c:numRef>
          </c:xVal>
          <c:yVal>
            <c:numRef>
              <c:f>Pivot_tables!$AR$7:$AR$37</c:f>
              <c:numCache>
                <c:formatCode>_-* #,##0_-;\-* #,##0_-;_-* "-"??_-;_-@_-</c:formatCode>
                <c:ptCount val="31"/>
                <c:pt idx="0">
                  <c:v>8666.18</c:v>
                </c:pt>
                <c:pt idx="1">
                  <c:v>24319.919999999998</c:v>
                </c:pt>
                <c:pt idx="2">
                  <c:v>10134.42</c:v>
                </c:pt>
                <c:pt idx="3">
                  <c:v>5470.58</c:v>
                </c:pt>
                <c:pt idx="4">
                  <c:v>20160.509999999998</c:v>
                </c:pt>
                <c:pt idx="5">
                  <c:v>11123.41</c:v>
                </c:pt>
                <c:pt idx="6">
                  <c:v>16551.82</c:v>
                </c:pt>
                <c:pt idx="7">
                  <c:v>5388.84</c:v>
                </c:pt>
                <c:pt idx="8">
                  <c:v>13926.83</c:v>
                </c:pt>
                <c:pt idx="9">
                  <c:v>11520.37</c:v>
                </c:pt>
                <c:pt idx="10">
                  <c:v>3355.12</c:v>
                </c:pt>
                <c:pt idx="11">
                  <c:v>14882.67</c:v>
                </c:pt>
                <c:pt idx="12">
                  <c:v>1772.04</c:v>
                </c:pt>
                <c:pt idx="13">
                  <c:v>5200.1899999999996</c:v>
                </c:pt>
                <c:pt idx="14">
                  <c:v>4829.95</c:v>
                </c:pt>
                <c:pt idx="15">
                  <c:v>3964.13</c:v>
                </c:pt>
                <c:pt idx="16">
                  <c:v>6667.69</c:v>
                </c:pt>
                <c:pt idx="17">
                  <c:v>2987.38</c:v>
                </c:pt>
                <c:pt idx="18">
                  <c:v>1652.89</c:v>
                </c:pt>
                <c:pt idx="19">
                  <c:v>6109.01</c:v>
                </c:pt>
                <c:pt idx="20">
                  <c:v>12281.51</c:v>
                </c:pt>
                <c:pt idx="21">
                  <c:v>13513.64</c:v>
                </c:pt>
                <c:pt idx="22">
                  <c:v>765.9</c:v>
                </c:pt>
                <c:pt idx="23">
                  <c:v>8376.58</c:v>
                </c:pt>
                <c:pt idx="24">
                  <c:v>445.25</c:v>
                </c:pt>
                <c:pt idx="25">
                  <c:v>7035.73</c:v>
                </c:pt>
                <c:pt idx="26">
                  <c:v>4036.39</c:v>
                </c:pt>
                <c:pt idx="27">
                  <c:v>6617.65</c:v>
                </c:pt>
                <c:pt idx="28">
                  <c:v>11666.61</c:v>
                </c:pt>
                <c:pt idx="29">
                  <c:v>5276.23</c:v>
                </c:pt>
                <c:pt idx="30">
                  <c:v>16299.11</c:v>
                </c:pt>
              </c:numCache>
            </c:numRef>
          </c:yVal>
          <c:smooth val="0"/>
          <c:extLst>
            <c:ext xmlns:c16="http://schemas.microsoft.com/office/drawing/2014/chart" uri="{C3380CC4-5D6E-409C-BE32-E72D297353CC}">
              <c16:uniqueId val="{00000000-A525-4111-A779-0AB7EAA49035}"/>
            </c:ext>
          </c:extLst>
        </c:ser>
        <c:dLbls>
          <c:showLegendKey val="0"/>
          <c:showVal val="0"/>
          <c:showCatName val="0"/>
          <c:showSerName val="0"/>
          <c:showPercent val="0"/>
          <c:showBubbleSize val="0"/>
        </c:dLbls>
        <c:axId val="921920319"/>
        <c:axId val="796030543"/>
      </c:scatterChart>
      <c:valAx>
        <c:axId val="921920319"/>
        <c:scaling>
          <c:orientation val="minMax"/>
        </c:scaling>
        <c:delete val="0"/>
        <c:axPos val="b"/>
        <c:numFmt formatCode="[=0]&quot;&quot;;dd/mmm" sourceLinked="1"/>
        <c:majorTickMark val="none"/>
        <c:minorTickMark val="none"/>
        <c:tickLblPos val="nextTo"/>
        <c:spPr>
          <a:noFill/>
          <a:ln w="9525" cap="flat" cmpd="sng" algn="ctr">
            <a:solidFill>
              <a:srgbClr val="D43260"/>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796030543"/>
        <c:crosses val="autoZero"/>
        <c:crossBetween val="midCat"/>
        <c:majorUnit val="1"/>
        <c:minorUnit val="1"/>
      </c:valAx>
      <c:valAx>
        <c:axId val="796030543"/>
        <c:scaling>
          <c:orientation val="minMax"/>
        </c:scaling>
        <c:delete val="1"/>
        <c:axPos val="l"/>
        <c:numFmt formatCode="_-* #,##0_-;\-* #,##0_-;_-* &quot;-&quot;??_-;_-@_-" sourceLinked="1"/>
        <c:majorTickMark val="none"/>
        <c:minorTickMark val="none"/>
        <c:tickLblPos val="nextTo"/>
        <c:crossAx val="9219203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r>
              <a:rPr lang="en-CA" sz="1600">
                <a:solidFill>
                  <a:srgbClr val="D43260"/>
                </a:solidFill>
              </a:rPr>
              <a:t>Top Performer</a:t>
            </a:r>
          </a:p>
        </c:rich>
      </c:tx>
      <c:overlay val="0"/>
      <c:spPr>
        <a:noFill/>
        <a:ln>
          <a:noFill/>
        </a:ln>
        <a:effectLst/>
      </c:spPr>
      <c:txPr>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endParaRPr lang="en-US"/>
        </a:p>
      </c:txPr>
    </c:title>
    <c:autoTitleDeleted val="0"/>
    <c:plotArea>
      <c:layout>
        <c:manualLayout>
          <c:layoutTarget val="inner"/>
          <c:xMode val="edge"/>
          <c:yMode val="edge"/>
          <c:x val="3.996365795914724E-2"/>
          <c:y val="0.24263177629112151"/>
          <c:w val="0.92007268408170551"/>
          <c:h val="0.70223037909734953"/>
        </c:manualLayout>
      </c:layout>
      <c:barChart>
        <c:barDir val="col"/>
        <c:grouping val="clustered"/>
        <c:varyColors val="0"/>
        <c:ser>
          <c:idx val="0"/>
          <c:order val="0"/>
          <c:tx>
            <c:strRef>
              <c:f>Pivot_tables!$AY$7</c:f>
              <c:strCache>
                <c:ptCount val="1"/>
                <c:pt idx="0">
                  <c:v>Chris</c:v>
                </c:pt>
              </c:strCache>
            </c:strRef>
          </c:tx>
          <c:spPr>
            <a:solidFill>
              <a:srgbClr val="D4326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Pivot_tables!$AZ$7</c:f>
              <c:numCache>
                <c:formatCode>_-* #,##0_-;\-* #,##0_-;_-* "-"??_-;_-@_-</c:formatCode>
                <c:ptCount val="1"/>
                <c:pt idx="0">
                  <c:v>441445.62</c:v>
                </c:pt>
              </c:numCache>
            </c:numRef>
          </c:val>
          <c:extLst>
            <c:ext xmlns:c16="http://schemas.microsoft.com/office/drawing/2014/chart" uri="{C3380CC4-5D6E-409C-BE32-E72D297353CC}">
              <c16:uniqueId val="{00000000-C291-4F8E-9B32-7F1D6E38BABA}"/>
            </c:ext>
          </c:extLst>
        </c:ser>
        <c:ser>
          <c:idx val="1"/>
          <c:order val="1"/>
          <c:tx>
            <c:strRef>
              <c:f>Pivot_tables!$AY$8</c:f>
              <c:strCache>
                <c:ptCount val="1"/>
                <c:pt idx="0">
                  <c:v>Erin</c:v>
                </c:pt>
              </c:strCache>
            </c:strRef>
          </c:tx>
          <c:spPr>
            <a:solidFill>
              <a:srgbClr val="B1F5F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Pivot_tables!$AZ$8</c:f>
              <c:numCache>
                <c:formatCode>_-* #,##0_-;\-* #,##0_-;_-* "-"??_-;_-@_-</c:formatCode>
                <c:ptCount val="1"/>
                <c:pt idx="0">
                  <c:v>584724.18999999994</c:v>
                </c:pt>
              </c:numCache>
            </c:numRef>
          </c:val>
          <c:extLst>
            <c:ext xmlns:c16="http://schemas.microsoft.com/office/drawing/2014/chart" uri="{C3380CC4-5D6E-409C-BE32-E72D297353CC}">
              <c16:uniqueId val="{00000001-C291-4F8E-9B32-7F1D6E38BABA}"/>
            </c:ext>
          </c:extLst>
        </c:ser>
        <c:ser>
          <c:idx val="2"/>
          <c:order val="2"/>
          <c:tx>
            <c:strRef>
              <c:f>Pivot_tables!$AY$9</c:f>
              <c:strCache>
                <c:ptCount val="1"/>
                <c:pt idx="0">
                  <c:v>Sam</c:v>
                </c:pt>
              </c:strCache>
            </c:strRef>
          </c:tx>
          <c:spPr>
            <a:solidFill>
              <a:srgbClr val="194AFE"/>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Pivot_tables!$AZ$9</c:f>
              <c:numCache>
                <c:formatCode>_-* #,##0_-;\-* #,##0_-;_-* "-"??_-;_-@_-</c:formatCode>
                <c:ptCount val="1"/>
                <c:pt idx="0">
                  <c:v>341328.32</c:v>
                </c:pt>
              </c:numCache>
            </c:numRef>
          </c:val>
          <c:extLst>
            <c:ext xmlns:c16="http://schemas.microsoft.com/office/drawing/2014/chart" uri="{C3380CC4-5D6E-409C-BE32-E72D297353CC}">
              <c16:uniqueId val="{00000002-C291-4F8E-9B32-7F1D6E38BABA}"/>
            </c:ext>
          </c:extLst>
        </c:ser>
        <c:ser>
          <c:idx val="3"/>
          <c:order val="3"/>
          <c:tx>
            <c:strRef>
              <c:f>Pivot_tables!$AY$10</c:f>
              <c:strCache>
                <c:ptCount val="1"/>
                <c:pt idx="0">
                  <c:v>William</c:v>
                </c:pt>
              </c:strCache>
            </c:strRef>
          </c:tx>
          <c:spPr>
            <a:solidFill>
              <a:srgbClr val="6921B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Pivot_tables!$AZ$10</c:f>
              <c:numCache>
                <c:formatCode>_-* #,##0_-;\-* #,##0_-;_-* "-"??_-;_-@_-</c:formatCode>
                <c:ptCount val="1"/>
                <c:pt idx="0">
                  <c:v>514026.64</c:v>
                </c:pt>
              </c:numCache>
            </c:numRef>
          </c:val>
          <c:extLst>
            <c:ext xmlns:c16="http://schemas.microsoft.com/office/drawing/2014/chart" uri="{C3380CC4-5D6E-409C-BE32-E72D297353CC}">
              <c16:uniqueId val="{00000003-C291-4F8E-9B32-7F1D6E38BABA}"/>
            </c:ext>
          </c:extLst>
        </c:ser>
        <c:dLbls>
          <c:showLegendKey val="0"/>
          <c:showVal val="0"/>
          <c:showCatName val="0"/>
          <c:showSerName val="0"/>
          <c:showPercent val="0"/>
          <c:showBubbleSize val="0"/>
        </c:dLbls>
        <c:gapWidth val="219"/>
        <c:overlap val="-27"/>
        <c:axId val="565486976"/>
        <c:axId val="1684021343"/>
      </c:barChart>
      <c:catAx>
        <c:axId val="565486976"/>
        <c:scaling>
          <c:orientation val="minMax"/>
        </c:scaling>
        <c:delete val="1"/>
        <c:axPos val="b"/>
        <c:numFmt formatCode="General" sourceLinked="1"/>
        <c:majorTickMark val="none"/>
        <c:minorTickMark val="none"/>
        <c:tickLblPos val="nextTo"/>
        <c:crossAx val="1684021343"/>
        <c:crosses val="autoZero"/>
        <c:auto val="1"/>
        <c:lblAlgn val="ctr"/>
        <c:lblOffset val="100"/>
        <c:noMultiLvlLbl val="0"/>
      </c:catAx>
      <c:valAx>
        <c:axId val="1684021343"/>
        <c:scaling>
          <c:orientation val="minMax"/>
        </c:scaling>
        <c:delete val="1"/>
        <c:axPos val="l"/>
        <c:numFmt formatCode="_-* #,##0_-;\-* #,##0_-;_-* &quot;-&quot;??_-;_-@_-" sourceLinked="1"/>
        <c:majorTickMark val="none"/>
        <c:minorTickMark val="none"/>
        <c:tickLblPos val="nextTo"/>
        <c:crossAx val="5654869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latin typeface="Avenir Next LT Pro" panose="020B05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Pivot_tables!$CD$5</c:f>
              <c:strCache>
                <c:ptCount val="1"/>
                <c:pt idx="0">
                  <c:v>Home Office</c:v>
                </c:pt>
              </c:strCache>
            </c:strRef>
          </c:tx>
          <c:spPr>
            <a:ln>
              <a:noFill/>
            </a:ln>
          </c:spPr>
          <c:dPt>
            <c:idx val="0"/>
            <c:bubble3D val="0"/>
            <c:spPr>
              <a:solidFill>
                <a:srgbClr val="B1F5F1"/>
              </a:solidFill>
              <a:ln w="19050">
                <a:noFill/>
              </a:ln>
              <a:effectLst/>
            </c:spPr>
            <c:extLst>
              <c:ext xmlns:c16="http://schemas.microsoft.com/office/drawing/2014/chart" uri="{C3380CC4-5D6E-409C-BE32-E72D297353CC}">
                <c16:uniqueId val="{00000001-97E6-46E6-90DB-6D95DF96CC21}"/>
              </c:ext>
            </c:extLst>
          </c:dPt>
          <c:dPt>
            <c:idx val="1"/>
            <c:bubble3D val="0"/>
            <c:spPr>
              <a:noFill/>
              <a:ln w="19050">
                <a:noFill/>
              </a:ln>
              <a:effectLst/>
            </c:spPr>
            <c:extLst>
              <c:ext xmlns:c16="http://schemas.microsoft.com/office/drawing/2014/chart" uri="{C3380CC4-5D6E-409C-BE32-E72D297353CC}">
                <c16:uniqueId val="{00000003-97E6-46E6-90DB-6D95DF96CC21}"/>
              </c:ext>
            </c:extLst>
          </c:dPt>
          <c:cat>
            <c:strRef>
              <c:f>Pivot_tables!$CC$6:$CC$7</c:f>
              <c:strCache>
                <c:ptCount val="2"/>
                <c:pt idx="0">
                  <c:v>Sales</c:v>
                </c:pt>
                <c:pt idx="1">
                  <c:v>Difference from Max Sales</c:v>
                </c:pt>
              </c:strCache>
            </c:strRef>
          </c:cat>
          <c:val>
            <c:numRef>
              <c:f>Pivot_tables!$CD$6:$CD$7</c:f>
              <c:numCache>
                <c:formatCode>"$"#,##0_);\("$"#,##0\)</c:formatCode>
                <c:ptCount val="2"/>
                <c:pt idx="0">
                  <c:v>461345.73999999993</c:v>
                </c:pt>
                <c:pt idx="1">
                  <c:v>273515.57</c:v>
                </c:pt>
              </c:numCache>
            </c:numRef>
          </c:val>
          <c:extLst>
            <c:ext xmlns:c16="http://schemas.microsoft.com/office/drawing/2014/chart" uri="{C3380CC4-5D6E-409C-BE32-E72D297353CC}">
              <c16:uniqueId val="{00000004-97E6-46E6-90DB-6D95DF96CC21}"/>
            </c:ext>
          </c:extLst>
        </c:ser>
        <c:ser>
          <c:idx val="1"/>
          <c:order val="1"/>
          <c:tx>
            <c:strRef>
              <c:f>Pivot_tables!$CE$5</c:f>
              <c:strCache>
                <c:ptCount val="1"/>
                <c:pt idx="0">
                  <c:v>Consumer</c:v>
                </c:pt>
              </c:strCache>
            </c:strRef>
          </c:tx>
          <c:spPr>
            <a:ln>
              <a:noFill/>
            </a:ln>
          </c:spPr>
          <c:dPt>
            <c:idx val="0"/>
            <c:bubble3D val="0"/>
            <c:spPr>
              <a:solidFill>
                <a:srgbClr val="6921B5"/>
              </a:solidFill>
              <a:ln w="19050">
                <a:noFill/>
              </a:ln>
              <a:effectLst/>
            </c:spPr>
            <c:extLst>
              <c:ext xmlns:c16="http://schemas.microsoft.com/office/drawing/2014/chart" uri="{C3380CC4-5D6E-409C-BE32-E72D297353CC}">
                <c16:uniqueId val="{00000006-97E6-46E6-90DB-6D95DF96CC21}"/>
              </c:ext>
            </c:extLst>
          </c:dPt>
          <c:dPt>
            <c:idx val="1"/>
            <c:bubble3D val="0"/>
            <c:spPr>
              <a:noFill/>
              <a:ln w="19050">
                <a:noFill/>
              </a:ln>
              <a:effectLst/>
            </c:spPr>
            <c:extLst>
              <c:ext xmlns:c16="http://schemas.microsoft.com/office/drawing/2014/chart" uri="{C3380CC4-5D6E-409C-BE32-E72D297353CC}">
                <c16:uniqueId val="{00000008-97E6-46E6-90DB-6D95DF96CC21}"/>
              </c:ext>
            </c:extLst>
          </c:dPt>
          <c:cat>
            <c:strRef>
              <c:f>Pivot_tables!$CC$6:$CC$7</c:f>
              <c:strCache>
                <c:ptCount val="2"/>
                <c:pt idx="0">
                  <c:v>Sales</c:v>
                </c:pt>
                <c:pt idx="1">
                  <c:v>Difference from Max Sales</c:v>
                </c:pt>
              </c:strCache>
            </c:strRef>
          </c:cat>
          <c:val>
            <c:numRef>
              <c:f>Pivot_tables!$CE$6:$CE$7</c:f>
              <c:numCache>
                <c:formatCode>"$"#,##0_);\("$"#,##0\)</c:formatCode>
                <c:ptCount val="2"/>
                <c:pt idx="0">
                  <c:v>394051.7</c:v>
                </c:pt>
                <c:pt idx="1">
                  <c:v>340809.60999999993</c:v>
                </c:pt>
              </c:numCache>
            </c:numRef>
          </c:val>
          <c:extLst>
            <c:ext xmlns:c16="http://schemas.microsoft.com/office/drawing/2014/chart" uri="{C3380CC4-5D6E-409C-BE32-E72D297353CC}">
              <c16:uniqueId val="{00000009-97E6-46E6-90DB-6D95DF96CC21}"/>
            </c:ext>
          </c:extLst>
        </c:ser>
        <c:ser>
          <c:idx val="2"/>
          <c:order val="2"/>
          <c:tx>
            <c:strRef>
              <c:f>Pivot_tables!$CF$5</c:f>
              <c:strCache>
                <c:ptCount val="1"/>
                <c:pt idx="0">
                  <c:v>Corporate</c:v>
                </c:pt>
              </c:strCache>
            </c:strRef>
          </c:tx>
          <c:spPr>
            <a:ln>
              <a:noFill/>
            </a:ln>
          </c:spPr>
          <c:dPt>
            <c:idx val="0"/>
            <c:bubble3D val="0"/>
            <c:spPr>
              <a:solidFill>
                <a:srgbClr val="D43260"/>
              </a:solidFill>
              <a:ln w="19050">
                <a:noFill/>
              </a:ln>
              <a:effectLst/>
            </c:spPr>
            <c:extLst>
              <c:ext xmlns:c16="http://schemas.microsoft.com/office/drawing/2014/chart" uri="{C3380CC4-5D6E-409C-BE32-E72D297353CC}">
                <c16:uniqueId val="{0000000B-97E6-46E6-90DB-6D95DF96CC21}"/>
              </c:ext>
            </c:extLst>
          </c:dPt>
          <c:dPt>
            <c:idx val="1"/>
            <c:bubble3D val="0"/>
            <c:spPr>
              <a:noFill/>
              <a:ln w="19050">
                <a:noFill/>
              </a:ln>
              <a:effectLst/>
            </c:spPr>
            <c:extLst>
              <c:ext xmlns:c16="http://schemas.microsoft.com/office/drawing/2014/chart" uri="{C3380CC4-5D6E-409C-BE32-E72D297353CC}">
                <c16:uniqueId val="{0000000D-97E6-46E6-90DB-6D95DF96CC21}"/>
              </c:ext>
            </c:extLst>
          </c:dPt>
          <c:cat>
            <c:strRef>
              <c:f>Pivot_tables!$CC$6:$CC$7</c:f>
              <c:strCache>
                <c:ptCount val="2"/>
                <c:pt idx="0">
                  <c:v>Sales</c:v>
                </c:pt>
                <c:pt idx="1">
                  <c:v>Difference from Max Sales</c:v>
                </c:pt>
              </c:strCache>
            </c:strRef>
          </c:cat>
          <c:val>
            <c:numRef>
              <c:f>Pivot_tables!$CF$6:$CF$7</c:f>
              <c:numCache>
                <c:formatCode>"$"#,##0_);\("$"#,##0\)</c:formatCode>
                <c:ptCount val="2"/>
                <c:pt idx="0">
                  <c:v>634861.30999999994</c:v>
                </c:pt>
                <c:pt idx="1">
                  <c:v>100000</c:v>
                </c:pt>
              </c:numCache>
            </c:numRef>
          </c:val>
          <c:extLst>
            <c:ext xmlns:c16="http://schemas.microsoft.com/office/drawing/2014/chart" uri="{C3380CC4-5D6E-409C-BE32-E72D297353CC}">
              <c16:uniqueId val="{0000000E-97E6-46E6-90DB-6D95DF96CC21}"/>
            </c:ext>
          </c:extLst>
        </c:ser>
        <c:ser>
          <c:idx val="3"/>
          <c:order val="3"/>
          <c:tx>
            <c:strRef>
              <c:f>Pivot_tables!$CG$5</c:f>
              <c:strCache>
                <c:ptCount val="1"/>
                <c:pt idx="0">
                  <c:v>Small Business</c:v>
                </c:pt>
              </c:strCache>
            </c:strRef>
          </c:tx>
          <c:spPr>
            <a:ln>
              <a:noFill/>
            </a:ln>
          </c:spPr>
          <c:dPt>
            <c:idx val="0"/>
            <c:bubble3D val="0"/>
            <c:spPr>
              <a:solidFill>
                <a:srgbClr val="194AFE"/>
              </a:solidFill>
              <a:ln w="19050">
                <a:noFill/>
              </a:ln>
              <a:effectLst/>
            </c:spPr>
            <c:extLst>
              <c:ext xmlns:c16="http://schemas.microsoft.com/office/drawing/2014/chart" uri="{C3380CC4-5D6E-409C-BE32-E72D297353CC}">
                <c16:uniqueId val="{00000010-97E6-46E6-90DB-6D95DF96CC21}"/>
              </c:ext>
            </c:extLst>
          </c:dPt>
          <c:dPt>
            <c:idx val="1"/>
            <c:bubble3D val="0"/>
            <c:spPr>
              <a:noFill/>
              <a:ln w="19050">
                <a:noFill/>
              </a:ln>
              <a:effectLst/>
            </c:spPr>
            <c:extLst>
              <c:ext xmlns:c16="http://schemas.microsoft.com/office/drawing/2014/chart" uri="{C3380CC4-5D6E-409C-BE32-E72D297353CC}">
                <c16:uniqueId val="{00000012-97E6-46E6-90DB-6D95DF96CC21}"/>
              </c:ext>
            </c:extLst>
          </c:dPt>
          <c:cat>
            <c:strRef>
              <c:f>Pivot_tables!$CC$6:$CC$7</c:f>
              <c:strCache>
                <c:ptCount val="2"/>
                <c:pt idx="0">
                  <c:v>Sales</c:v>
                </c:pt>
                <c:pt idx="1">
                  <c:v>Difference from Max Sales</c:v>
                </c:pt>
              </c:strCache>
            </c:strRef>
          </c:cat>
          <c:val>
            <c:numRef>
              <c:f>Pivot_tables!$CG$6:$CG$7</c:f>
              <c:numCache>
                <c:formatCode>"$"#,##0_);\("$"#,##0\)</c:formatCode>
                <c:ptCount val="2"/>
                <c:pt idx="0">
                  <c:v>391266.02</c:v>
                </c:pt>
                <c:pt idx="1">
                  <c:v>343595.28999999992</c:v>
                </c:pt>
              </c:numCache>
            </c:numRef>
          </c:val>
          <c:extLst>
            <c:ext xmlns:c16="http://schemas.microsoft.com/office/drawing/2014/chart" uri="{C3380CC4-5D6E-409C-BE32-E72D297353CC}">
              <c16:uniqueId val="{00000013-97E6-46E6-90DB-6D95DF96CC21}"/>
            </c:ext>
          </c:extLst>
        </c:ser>
        <c:dLbls>
          <c:showLegendKey val="0"/>
          <c:showVal val="0"/>
          <c:showCatName val="0"/>
          <c:showSerName val="0"/>
          <c:showPercent val="0"/>
          <c:showBubbleSize val="0"/>
          <c:showLeaderLines val="0"/>
        </c:dLbls>
        <c:firstSliceAng val="18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7774116341185E-2"/>
          <c:y val="1.1804016301241033E-2"/>
          <c:w val="0.92280792271564827"/>
          <c:h val="0.99523330075543837"/>
        </c:manualLayout>
      </c:layout>
      <c:doughnutChart>
        <c:varyColors val="1"/>
        <c:ser>
          <c:idx val="0"/>
          <c:order val="0"/>
          <c:tx>
            <c:strRef>
              <c:f>Pivot_tables!$BL$5</c:f>
              <c:strCache>
                <c:ptCount val="1"/>
                <c:pt idx="0">
                  <c:v>Profit</c:v>
                </c:pt>
              </c:strCache>
            </c:strRef>
          </c:tx>
          <c:spPr>
            <a:ln>
              <a:noFill/>
            </a:ln>
          </c:spPr>
          <c:dPt>
            <c:idx val="0"/>
            <c:bubble3D val="0"/>
            <c:spPr>
              <a:solidFill>
                <a:srgbClr val="B1F5F1"/>
              </a:solidFill>
              <a:ln w="19050">
                <a:solidFill>
                  <a:srgbClr val="B1F5F1"/>
                </a:solidFill>
              </a:ln>
              <a:effectLst/>
            </c:spPr>
            <c:extLst>
              <c:ext xmlns:c16="http://schemas.microsoft.com/office/drawing/2014/chart" uri="{C3380CC4-5D6E-409C-BE32-E72D297353CC}">
                <c16:uniqueId val="{00000001-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3-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05-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07-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09-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Pivot_tables!$BL$6:$BL$10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0A-4D05-480C-893A-1E24C167139D}"/>
            </c:ext>
          </c:extLst>
        </c:ser>
        <c:ser>
          <c:idx val="1"/>
          <c:order val="1"/>
          <c:tx>
            <c:strRef>
              <c:f>Pivot_tables!$BM$5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0C-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E-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0-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2-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4-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Pivot_tables!$BM$6:$BM$10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15-4D05-480C-893A-1E24C167139D}"/>
            </c:ext>
          </c:extLst>
        </c:ser>
        <c:ser>
          <c:idx val="2"/>
          <c:order val="2"/>
          <c:tx>
            <c:strRef>
              <c:f>Pivot_tables!$BN$5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17-4D05-480C-893A-1E24C167139D}"/>
              </c:ext>
            </c:extLst>
          </c:dPt>
          <c:dPt>
            <c:idx val="1"/>
            <c:bubble3D val="0"/>
            <c:spPr>
              <a:noFill/>
              <a:ln w="19050">
                <a:noFill/>
              </a:ln>
              <a:effectLst/>
            </c:spPr>
            <c:extLst>
              <c:ext xmlns:c16="http://schemas.microsoft.com/office/drawing/2014/chart" uri="{C3380CC4-5D6E-409C-BE32-E72D297353CC}">
                <c16:uniqueId val="{00000019-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B-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D-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F-4D05-480C-893A-1E24C167139D}"/>
              </c:ext>
            </c:extLst>
          </c:dPt>
          <c:dLbls>
            <c:dLbl>
              <c:idx val="1"/>
              <c:layout>
                <c:manualLayout>
                  <c:x val="3.9490049751243796E-2"/>
                  <c:y val="3.3320171428346547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9-4D05-480C-893A-1E24C167139D}"/>
                </c:ext>
              </c:extLst>
            </c:dLbl>
            <c:dLbl>
              <c:idx val="2"/>
              <c:layout>
                <c:manualLayout>
                  <c:x val="0"/>
                  <c:y val="2.998815428551189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B-4D05-480C-893A-1E24C167139D}"/>
                </c:ext>
              </c:extLst>
            </c:dLbl>
            <c:dLbl>
              <c:idx val="3"/>
              <c:layout>
                <c:manualLayout>
                  <c:x val="-6.5816749585406306E-3"/>
                  <c:y val="-6.1086275278103954E-1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D-4D05-480C-893A-1E24C167139D}"/>
                </c:ext>
              </c:extLst>
            </c:dLbl>
            <c:spPr>
              <a:solidFill>
                <a:schemeClr val="tx1"/>
              </a:solidFill>
              <a:ln>
                <a:noFill/>
              </a:ln>
              <a:effectLst/>
            </c:spPr>
            <c:txPr>
              <a:bodyPr rot="0" spcFirstLastPara="1" vertOverflow="ellipsis" vert="horz" wrap="square" lIns="0" tIns="19050" rIns="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Pivot_tables!$BK$6:$BK$10</c:f>
              <c:strCache>
                <c:ptCount val="5"/>
                <c:pt idx="0">
                  <c:v>Low</c:v>
                </c:pt>
                <c:pt idx="1">
                  <c:v>Medium</c:v>
                </c:pt>
                <c:pt idx="2">
                  <c:v>High</c:v>
                </c:pt>
                <c:pt idx="3">
                  <c:v>Critical</c:v>
                </c:pt>
                <c:pt idx="4">
                  <c:v>N/A</c:v>
                </c:pt>
              </c:strCache>
            </c:strRef>
          </c:cat>
          <c:val>
            <c:numRef>
              <c:f>Pivot_tables!$BN$6:$BN$10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0-4D05-480C-893A-1E24C167139D}"/>
            </c:ext>
          </c:extLst>
        </c:ser>
        <c:ser>
          <c:idx val="3"/>
          <c:order val="3"/>
          <c:tx>
            <c:strRef>
              <c:f>Pivot_tables!$BO$5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2-4D05-480C-893A-1E24C167139D}"/>
              </c:ext>
            </c:extLst>
          </c:dPt>
          <c:dPt>
            <c:idx val="1"/>
            <c:bubble3D val="0"/>
            <c:spPr>
              <a:noFill/>
              <a:ln w="19050">
                <a:noFill/>
              </a:ln>
              <a:effectLst/>
            </c:spPr>
            <c:extLst>
              <c:ext xmlns:c16="http://schemas.microsoft.com/office/drawing/2014/chart" uri="{C3380CC4-5D6E-409C-BE32-E72D297353CC}">
                <c16:uniqueId val="{00000024-4D05-480C-893A-1E24C167139D}"/>
              </c:ext>
            </c:extLst>
          </c:dPt>
          <c:dPt>
            <c:idx val="2"/>
            <c:bubble3D val="0"/>
            <c:spPr>
              <a:noFill/>
              <a:ln w="19050">
                <a:noFill/>
              </a:ln>
              <a:effectLst/>
            </c:spPr>
            <c:extLst>
              <c:ext xmlns:c16="http://schemas.microsoft.com/office/drawing/2014/chart" uri="{C3380CC4-5D6E-409C-BE32-E72D297353CC}">
                <c16:uniqueId val="{00000026-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28-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2A-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Pivot_tables!$BO$6:$BO$10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B-4D05-480C-893A-1E24C167139D}"/>
            </c:ext>
          </c:extLst>
        </c:ser>
        <c:ser>
          <c:idx val="4"/>
          <c:order val="4"/>
          <c:tx>
            <c:strRef>
              <c:f>Pivot_tables!$BP$5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D-4D05-480C-893A-1E24C167139D}"/>
              </c:ext>
            </c:extLst>
          </c:dPt>
          <c:dPt>
            <c:idx val="1"/>
            <c:bubble3D val="0"/>
            <c:spPr>
              <a:noFill/>
              <a:ln w="19050">
                <a:noFill/>
              </a:ln>
              <a:effectLst/>
            </c:spPr>
            <c:extLst>
              <c:ext xmlns:c16="http://schemas.microsoft.com/office/drawing/2014/chart" uri="{C3380CC4-5D6E-409C-BE32-E72D297353CC}">
                <c16:uniqueId val="{0000002F-4D05-480C-893A-1E24C167139D}"/>
              </c:ext>
            </c:extLst>
          </c:dPt>
          <c:dPt>
            <c:idx val="2"/>
            <c:bubble3D val="0"/>
            <c:spPr>
              <a:noFill/>
              <a:ln w="19050">
                <a:noFill/>
              </a:ln>
              <a:effectLst/>
            </c:spPr>
            <c:extLst>
              <c:ext xmlns:c16="http://schemas.microsoft.com/office/drawing/2014/chart" uri="{C3380CC4-5D6E-409C-BE32-E72D297353CC}">
                <c16:uniqueId val="{00000031-4D05-480C-893A-1E24C167139D}"/>
              </c:ext>
            </c:extLst>
          </c:dPt>
          <c:dPt>
            <c:idx val="3"/>
            <c:bubble3D val="0"/>
            <c:spPr>
              <a:noFill/>
              <a:ln w="19050">
                <a:noFill/>
              </a:ln>
              <a:effectLst/>
            </c:spPr>
            <c:extLst>
              <c:ext xmlns:c16="http://schemas.microsoft.com/office/drawing/2014/chart" uri="{C3380CC4-5D6E-409C-BE32-E72D297353CC}">
                <c16:uniqueId val="{00000033-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35-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Pivot_tables!$BP$6:$BP$10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36-4D05-480C-893A-1E24C167139D}"/>
            </c:ext>
          </c:extLst>
        </c:ser>
        <c:dLbls>
          <c:showLegendKey val="0"/>
          <c:showVal val="1"/>
          <c:showCatName val="0"/>
          <c:showSerName val="0"/>
          <c:showPercent val="0"/>
          <c:showBubbleSize val="0"/>
          <c:showLeaderLines val="1"/>
        </c:dLbls>
        <c:firstSliceAng val="18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3640103073676155E-3"/>
          <c:y val="3.5684222014849875E-3"/>
          <c:w val="0.99563598969263234"/>
          <c:h val="0.81918684989778878"/>
        </c:manualLayout>
      </c:layout>
      <c:bar3DChart>
        <c:barDir val="col"/>
        <c:grouping val="stacked"/>
        <c:varyColors val="0"/>
        <c:ser>
          <c:idx val="0"/>
          <c:order val="0"/>
          <c:tx>
            <c:strRef>
              <c:f>Pivot_tables!$AF$33</c:f>
              <c:strCache>
                <c:ptCount val="1"/>
                <c:pt idx="0">
                  <c:v> Cumulative cost </c:v>
                </c:pt>
              </c:strCache>
            </c:strRef>
          </c:tx>
          <c:spPr>
            <a:solidFill>
              <a:srgbClr val="D4326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Pivot_tables!$AF$34:$AF$36</c:f>
              <c:numCache>
                <c:formatCode>_-* #,##0_-;\-* #,##0_-;_-* "-"??_-;_-@_-</c:formatCode>
                <c:ptCount val="3"/>
                <c:pt idx="0">
                  <c:v>131268.74200539998</c:v>
                </c:pt>
                <c:pt idx="1">
                  <c:v>80084.997369999983</c:v>
                </c:pt>
                <c:pt idx="2">
                  <c:v>123747.83775599999</c:v>
                </c:pt>
              </c:numCache>
            </c:numRef>
          </c:val>
          <c:extLst>
            <c:ext xmlns:c16="http://schemas.microsoft.com/office/drawing/2014/chart" uri="{C3380CC4-5D6E-409C-BE32-E72D297353CC}">
              <c16:uniqueId val="{00000000-3516-4675-9E5E-296433C3E7CA}"/>
            </c:ext>
          </c:extLst>
        </c:ser>
        <c:ser>
          <c:idx val="1"/>
          <c:order val="1"/>
          <c:tx>
            <c:strRef>
              <c:f>Pivot_tables!$AG$33</c:f>
              <c:strCache>
                <c:ptCount val="1"/>
                <c:pt idx="0">
                  <c:v> Shipping Cost </c:v>
                </c:pt>
              </c:strCache>
            </c:strRef>
          </c:tx>
          <c:spPr>
            <a:solidFill>
              <a:srgbClr val="B1F5F1"/>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Pivot_tables!$AG$34:$AG$36</c:f>
              <c:numCache>
                <c:formatCode>_-* #,##0_-;\-* #,##0_-;_-* "-"??_-;_-@_-</c:formatCode>
                <c:ptCount val="3"/>
                <c:pt idx="0">
                  <c:v>3295</c:v>
                </c:pt>
                <c:pt idx="1">
                  <c:v>2496</c:v>
                </c:pt>
                <c:pt idx="2">
                  <c:v>1229.6600000000001</c:v>
                </c:pt>
              </c:numCache>
            </c:numRef>
          </c:val>
          <c:extLst>
            <c:ext xmlns:c16="http://schemas.microsoft.com/office/drawing/2014/chart" uri="{C3380CC4-5D6E-409C-BE32-E72D297353CC}">
              <c16:uniqueId val="{00000001-3516-4675-9E5E-296433C3E7CA}"/>
            </c:ext>
          </c:extLst>
        </c:ser>
        <c:ser>
          <c:idx val="2"/>
          <c:order val="2"/>
          <c:tx>
            <c:strRef>
              <c:f>Pivot_tables!$AH$33</c:f>
              <c:strCache>
                <c:ptCount val="1"/>
                <c:pt idx="0">
                  <c:v> Discount </c:v>
                </c:pt>
              </c:strCache>
            </c:strRef>
          </c:tx>
          <c:spPr>
            <a:solidFill>
              <a:srgbClr val="7030A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Pivot_tables!$AH$34:$AH$36</c:f>
              <c:numCache>
                <c:formatCode>_-* #,##0_-;\-* #,##0_-;_-* "-"??_-;_-@_-</c:formatCode>
                <c:ptCount val="3"/>
                <c:pt idx="0">
                  <c:v>5.8499999999999943</c:v>
                </c:pt>
                <c:pt idx="1">
                  <c:v>15.109999999999983</c:v>
                </c:pt>
                <c:pt idx="2">
                  <c:v>6.4799999999999933</c:v>
                </c:pt>
              </c:numCache>
            </c:numRef>
          </c:val>
          <c:extLst>
            <c:ext xmlns:c16="http://schemas.microsoft.com/office/drawing/2014/chart" uri="{C3380CC4-5D6E-409C-BE32-E72D297353CC}">
              <c16:uniqueId val="{00000002-3516-4675-9E5E-296433C3E7CA}"/>
            </c:ext>
          </c:extLst>
        </c:ser>
        <c:ser>
          <c:idx val="3"/>
          <c:order val="3"/>
          <c:tx>
            <c:strRef>
              <c:f>Pivot_tables!$AI$33</c:f>
              <c:strCache>
                <c:ptCount val="1"/>
                <c:pt idx="0">
                  <c:v> Profit </c:v>
                </c:pt>
              </c:strCache>
            </c:strRef>
          </c:tx>
          <c:spPr>
            <a:solidFill>
              <a:srgbClr val="194AFE"/>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Pivot_tables!$AI$34:$AI$36</c:f>
              <c:numCache>
                <c:formatCode>_-* #,##0_-;\-* #,##0_-;_-* "-"??_-;_-@_-</c:formatCode>
                <c:ptCount val="3"/>
                <c:pt idx="0">
                  <c:v>6301.754294600003</c:v>
                </c:pt>
                <c:pt idx="1">
                  <c:v>28333.074329999999</c:v>
                </c:pt>
                <c:pt idx="2">
                  <c:v>44010.946644000011</c:v>
                </c:pt>
              </c:numCache>
            </c:numRef>
          </c:val>
          <c:extLst>
            <c:ext xmlns:c16="http://schemas.microsoft.com/office/drawing/2014/chart" uri="{C3380CC4-5D6E-409C-BE32-E72D297353CC}">
              <c16:uniqueId val="{00000003-3516-4675-9E5E-296433C3E7CA}"/>
            </c:ext>
          </c:extLst>
        </c:ser>
        <c:dLbls>
          <c:showLegendKey val="0"/>
          <c:showVal val="0"/>
          <c:showCatName val="0"/>
          <c:showSerName val="0"/>
          <c:showPercent val="0"/>
          <c:showBubbleSize val="0"/>
        </c:dLbls>
        <c:gapWidth val="200"/>
        <c:shape val="box"/>
        <c:axId val="707319695"/>
        <c:axId val="1016158815"/>
        <c:axId val="0"/>
      </c:bar3DChart>
      <c:catAx>
        <c:axId val="7073196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6158815"/>
        <c:crosses val="autoZero"/>
        <c:auto val="1"/>
        <c:lblAlgn val="ctr"/>
        <c:lblOffset val="0"/>
        <c:noMultiLvlLbl val="0"/>
      </c:catAx>
      <c:valAx>
        <c:axId val="1016158815"/>
        <c:scaling>
          <c:orientation val="minMax"/>
        </c:scaling>
        <c:delete val="1"/>
        <c:axPos val="l"/>
        <c:numFmt formatCode="_-* #,##0_-;\-* #,##0_-;_-* &quot;-&quot;??_-;_-@_-" sourceLinked="1"/>
        <c:majorTickMark val="none"/>
        <c:minorTickMark val="none"/>
        <c:tickLblPos val="nextTo"/>
        <c:crossAx val="707319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a:effectLst>
              <a:outerShdw blurRad="50800" dist="38100" dir="2700000" algn="tl" rotWithShape="0">
                <a:srgbClr val="CC00CC">
                  <a:alpha val="40000"/>
                </a:srgbClr>
              </a:outerShdw>
            </a:effectLst>
          </cx:spPr>
        </cx:plotSurface>
        <cx:series layoutId="regionMap" uniqueId="{E6AA392E-773C-4B40-BF30-7D041BDE2445}">
          <cx:tx>
            <cx:txData>
              <cx:f>_xlchart.v5.2</cx:f>
              <cx:v>Total Sales</cx:v>
            </cx:txData>
          </cx:tx>
          <cx:spPr>
            <a:effectLst>
              <a:outerShdw blurRad="50800" dist="38100" dir="2700000" algn="tl" rotWithShape="0">
                <a:prstClr val="black">
                  <a:alpha val="40000"/>
                </a:prstClr>
              </a:outerShdw>
            </a:effectLst>
          </cx:spPr>
          <cx:dataLabels/>
          <cx:dataId val="0"/>
          <cx:layoutPr>
            <cx:regionLabelLayout val="bestFitOnly"/>
            <cx:geography cultureLanguage="en-US" cultureRegion="CA" attribution="Powered by Bing">
              <cx:geoCache provider="{E9337A44-BEBE-4D9F-B70C-5C5E7DAFC167}">
                <cx:binary>1H1pc+O20u5fmZrPlw6xEABPnbxVByS12fI+S+YLS+NxuBPgBi6//ra8TGzGPuO34lu3pKQURzKk
Jh5299MPGvC/b4Z/3eS3u/rDUORl86+b4fePcdvqf/32W3MT3xa75qhIbmrVqD/boxtV/Kb+/DO5
uf3tR73rkzL6DduI/nYT7+r2dvj4P/+GT4tu1Ym62bWJKi+623q8vG26vG3+y3svvvVh96NISj9p
2jq5adHvH/9TJ5Mqdx8/3JZt0o7Xo779/eOzX/r44bf5R/3taz/kYFnb/YCxhB5hl2AsEHXvHvzj
h1yV0cPbFkLoiDHquMxh9v6BHr/7dFfA+DcYdGfO7seP+rZp4ILu/vtk4DPr4fVvHz/cqK5s95MW
wfz9/vFTmbS3Pz5ctbv2tvn4IWmUd/8Lntpfwqeru2v+7fm0/8+/Zy/ALMxeeYLMfMp+9dbfgcl3
33fFewKDjzhMPGa2ezfvNnkOjGBHgtqEYBvfA+fOgPm1Qa8A8zhwDszJQQJzett/2NzWze34OD//
3GmofYSIa7sOQffY4OfYcHrEuHAgLDxAQx+/+95p3mbTy/A8HTtD6HRzkAj5t/mu39W3j3P0z/Eh
7pFtC84wcX76xtOgxp0jygSjBIn7953H777H5y0WvYzOXyNn2PjBQWLznzrblc0Oou47JhyYdGET
9ICNeO47Lj6ixEWO44h735ph8xaLXsbmr5EzbP5zeZDYeLs8+VPVZfKeWYcfYYcy5qKHrAPp/qnn
IOQeMcQxd+0HvvB4Z9x7zttsehmfp2NnCHn/OUyEVK7q3Q/1OEfvENnEETiP49gU33vHHB/bOXIo
F4QBXbh32Qdg3mDKK7D8HDkH5exAQSnL25s2uenaxyn657hQdORwBzmEOC/iwoHNEQEsG8/Cmafe
ZM1r0DwZPEfn+iDROb39Xu+a7B1D2h4azBHh/L6AsWdkzXWPBLI5sOiXE85bLHoZnr9GzrA5PUwy
8FiHflB/fvBU3hXf3zX1QGizKefceShoZpUo50c2YlgI/kAcZp70v7XuZcxe/pQZfr53kL61gGyU
/HhH18LiyHEdB2ECxedTmiCAxAlOKBbkPhzOstEbLHkZnp8DZ4gsDrM4Xd6qOnpXJ8JHjEKeEft4
tn/MnEiQI0op4dR+CHYzYN5g0MvA/Bw4A2Z5mMztMgZp6cO6yXflj3dlCRDAsOs8lJ3urPbhkKqQ
EPZeb7t7zNB5q1UvQ/R89Ayny/VBhrTz27Jsxtzs3rUKAn1HuFAEPfjInej5NLxBKhJECJdz+x4n
wPEp2X6rVS/j9Hz0DKfzw/Sn9Y9d/I5lEKVHRLhA2uiDwjZzJIRAgXNcwqFOeg7NLw15GZOHYTMw
1v5BOs06z5NSJc3jzLxD+QOCKGBBoTD96RBPHUa4R4gKRhzxlyD31GHeYtErwPy8ljk2h8kI1uWP
ZPeuCzzuEYg5Lgg298i4c6rGjqAshZzjPlSu9PG2uBcO3mDQK8g8XskcmNPDdBrVvyNzpvjI5pQ5
nNKfBPmpw7jkaA8HQ/bD+2yGyi+seQWSu1FzPA4zoxy/ty4toGShQJshqd890POSxhWQcmxwlMc1
BWDWT0PYr+15GZPHcTNUjq8O0kuOYUq6m+wd19oI38s3BMOCzXNAhAOBC8CilN1Htlngeospr0Dy
8yLmoPxxEKD89+Xz+5v2Puc/+83/beeACyGKONx2IDY9i12w+oYEwbCAcw/MrIqZLee/bs/L6MyG
P7uEw+gVOFFd0rxzlrePXFAxbeHAZD8DA0EpgwQ0eDyAMfOSN9nyMhBPhs785OQwU8p2l5S3j1H9
HUixc0RgKY06TzLGU2iYe4QRQxSIwIsB7JfmvAzLw7AZJNvDlJy3yU2cRLvyHVGhR4JT7nLxcukI
aYUTG/jynjXvHzPm9RaLXgHm57XMsTlM7WW7q8f31ccILAHsk70zq1E4O+I2gj4198FTZhnlLZa8
gsnPa5hjcpil/b476A9VZ+/oL/gI5h1Dq8xMSoYmGgaL0FQ4D44yI8RvMeVlUP4aOQPl9DD41zOr
oWlzu2ua3U3cNbdt27wrMtCJQRyHwUrY08QCMjKzoXyExej7EDaTJ99sz8vwzIY/u1q42MPM/V92
TQytvK16z1TDjyhCQJEFZJP9Y+ZBCNtHgB4VNr3vI4SS854N30svb7PpZZCejp0h9OUwEdom0OzQ
qHb3OEnvwNAYMDQXQb/Zg9IPADx1JJceIReWMKE/+vFL75F5ky0vA/Nk6AyX7WEKY9ukafb/ap08
TtI/R4ZAvwyGFs6fevGMEYCgDA3pGOT9hz6ov7G0Nxn1GkRPBs9BujoICeCZ1fsUBAiprn5PhEAP
Yxxq/IfY9be2GmgB4Bz60B4XO19A6FcWvQ7P/chnVwkXeZgNaVtVtu8q+VPolIHcj1xY5r97zDQB
ZIP3UGjbYGSmBrzBlFcwebyGOSTXB+kup7dm956NMtCQTiDRQ6556IeZJRqEGMQzh+ybaR7F56dM
4Nf2vAzL47gZKqefDxSV/sNqV2hgau+5W4CSIyYchtzH3s2Zu+y7MqB5EMMK2r07zcjAvlx5k1mv
YfRs+Byq1cFCtb0dkpt3XPSHrWoUQx8nog+NnDOckM2OkC1gY44A93ruPv2HX1vzOjyPY+fYbA8T
G1W38QdvVytoA3hHNk2g9ZxAz4UD8tlL5Q6HJgDhUMRhEe3uMfejN9v1ClKz8XO0vANGy99l71v5
QGlKGQFPIfdYzfg1ZCHYIrXfGPog7sD7zzzqbq5/bdV/Q+px9Bynw1TezuLkHWMddKBR2AMF1enD
avQs1kGDLfSeAbd+BZ9fWfMyLvejZnicHWYGOqtvo3cVcwjooAJ2DZKH5ea5x9yJOQL0nlny+bUh
r4DxcAFzOC4PMoydZTl0AL7rBmlIN4JAFHvoW9rvTH8m3kDjALAB2+YP6tsshL3FoleQ+Xktc2yO
DxKbK9X9vyEE4DI2rNlgdF/U/G0L+77NFjrR4YyB+yQ0kwjebtfLOM3Hz9C6OkxCcH9Vj8nzPin/
c8ENOmopgcVoqHReJG97QoAJbPpEbKYZvNWe/4bR49XMETpMKnANTelw1sXtO/YSALcWFLZ0QBfU
PTzzZqi9kg0tN/SVGvVNJr2M0JOhM3iuD1Owvr4d3nVDOwKmTASFMHZf1szzEGg/cEwH9BU+bMmZ
rcb90pzXYLm7ijkkXw8yA31JmhtVNsl7Lr7BDgCobRwCB6jcP57TA1hBgK5CENzcl7eovcmkl6F5
MnQGz5f1QcLzqd3Fj/XfP081ezEUEw4iwMPy9HxZdH/kEIeWNcxmhOBXdrwMx/2oGRKfDlOY/nxb
FyC1vx8YkPdt2HEL/8wqTNixzhhmLgNB7e4BTQZPFYA3WPIyHD8HzhD5fKCIJLCD8113n+07nqHZ
yd5z47vHHBlxxFzQo4FX/0w4z5B5g0WvQPNz5Byb/xxk3Ppy27QfPv+8qPfiytCmBgdzQVsHoHT3
mAUwYcMZKYSDEP1X3fMUoDeb9TJKs+EzqL4c5trOl1HBSXfRY4z551kGdtgANhDBXjlnCI58gOYb
RCnIB/coPn73Q/PNrw16BZ7HgXNg/vj/40OvH3r381xAf9fugrsDBZ+ce/ff3727djjlcDb0IUW8
CN+9C6x/wKGD0LkBLPjnQYX7D3mWXGa3+N9G3u6a9vePFuzD5ZC44BQvW8CRRdQGvtCDz8NbIJAy
kE8RdIxS2HPt7t8q96L17x9BWwXlG/CHtiwg7ozDOkSzl0DAML5v+IHlJc7gLArsMvfncY7nKh9B
UPw5Kw///6HsinOVlG3z+0fsIIgE+v4X99fpUDiIB5Y79lU1bEl1CQIr9M3uEu50+H30f6KR9nmZ
RvG6t5x0IbC6LUzVeLhPzhre1sc9IXmQa2XLqut2bSeK9WidZD3qTs1ijClb951JZRktk25KvbLM
Qt+hhSWbPlpoxndJGp51g10Gig2hbKLI9bJKh8s8jUfZR+E2Ycd6nJg/2htMRterI9fyOlxnQdhP
X/odNAroYOoq7nfTSnS693mkV71tsFerrFrAxsHAtMSfqmpdi0GtKbUK34xWK3HZ73gUFydU9IuU
lZGHwuHYRPl00k+jnHjm+lFcnRVmsiRyKy9HQsZZLPsco7UbN/GyDMutpVDl09SwAOGrLi4Sn2Sd
WdjUbHObTOcDU1ZQjIwGVWOUbNq0lmjMXE+32g0G4taeg+JiSYWqpIosO8iTrJMaD1dZ54iFk/i1
GWI5llXi4W7fEUwlhdM1z1LXTvwc88jXqRy7oQ/YqLd1P3SSJ9zyWZVxiawhlVHeVn5UVQZwShZ9
0qWLONapj3W0iKdxuCZGXBai8Ro4TWk9OG3hY6fZClRItCo0vtat6U/s2LpGGAVj23xmcX/h0Noz
PVtUDElWj7KsK18lXyacyMQdg8q2jnvtnjE1bU3nfrK53tEylEaPncxIvWizsfatVqz375I8KmUb
cxmVzbc+dZXnlFHktYVrJJxfetomdS9t1jYLnatjMgzIS1DZSytGq6xlmz5qczkSs4mUkx8L22yx
sb8mqslOphELHw9ILWLCZFnZRibYCv1c6Va6GUXL1EzaJ8Lp/BCxdpnSZqFMnMmiwSZQcIPL1ika
z664c9wlefV1Il7dlsct5zXccJHyK2G3vkZT71W48NSIo2VeRIknhpu2iK5tXOgFonXn91G2xXWc
ytAmlxrhkyx0LnDunqksjryq/0ajnAc1Sr9WOq7P6tyWQzL1K4uEQmYdl04yiKAr6iawGneR1IjJ
wcrik8YxssiTeNGXaJnZeIKZrDaN0ZOkvbskYzf6VcbiICJWv+yiMCi67gvO82IdhSoNurj2IRKA
mw3asy3eSF2HJ2FtXRjsVD6v6rOY9NuwqZeoMb2vKHGkKlSQF1wEKImvsoba3ji5xmsbJCvNT1ta
VFuemIVp2/5TfE2xvkzqS1Fga6lo6UhbTz/StihlqfAPR1SnYTgu3NIGX6RNsezyOve40Z0cp7oP
lGjjr71zHuasXblDYvlmakjQhnwVGw/c5muaXlZOnsiu177hOAngHL9TXqfVIolirx6/lGi4HS3D
l7FxTis2rDtU4wVHlaccMS6mDCk/Hsz5OMa53ymn9IzAraw7y0/7boVyt1qyMLqAUL1w7fCiMWch
bqagdmP4hPyUl8qBAMCIhzXWErZyVJ6ZnMGPFCk81+lcGSf2ym527jg5Hmp2w9AVPre5P0b2zp72
AEVT7MGG9QUPuyU3MYSytIlWliiN50T1TYft3C8KSpd5Pa0r7OKTvDejtEl4OVRu+Cku8k2VXxVx
pYIWFtHHLqa+InG0aUoGF6PiW63tALk9OUv6JpI54WckCs1miPvP3CXFJqafQ5ZWkg25NL1YJ1ks
LgwZZKZN4Q1mKjzh1pHvRkoHeRw7Qa/bk0I4tyz9M7HY53xqE1mMbus7Gb7tu1L2hd3LkY2jtBz7
mhdFE/TNTZSQ/pQ4KoMjm2xbmkItCLAi3+XfRckirxhF7LsEAlZLPJKK2hcaIlOlpuWgTCS7nEYX
bIl4V29bayw8nWhAt06KZeiMPmvrRhrLtSSt7JOM97LMyPGgO+c4dhOvjumnQtupJLGu/CZdj1Oe
bMIykULlOCBWqzcRsmSRIHsR4wjmmHfbqog+VfaqEdVZb/rloLXwrLSMfANZMqxDfFG4tpdRXYIX
FP2mcSzjIyeAUyP9xnKxNHgIot4ImJtBB1VW2JIh5ouxvKrzevRyN0qXU+Z+g0rKrIo/3bz9mgqa
eTyvLppRD2u0GqawlCIbz3L7lOaMQYSD8NLqzo8pDmXdEuEndp1LO6qXhOnCC90q9pM8Oq6c0D7P
OzdIHQL3TvIZckHlhZmdLbkVoVMTk7WpIa31RXVOskacK0S9wiolo7z8OmAaH7PYqiBHJuuuLbWf
1606SZjeNquSMOuMtpFMY2ZOOe0gQxr7GKTfq6SxyEYZKzu3Ohue8r5YWylbxbpZOSkPUNtdTbz6
5FD3OgvhRomyL7EqhRxE/wWa04oNGqpFr7txrXg1eBUjyyKyJr8n7rpK9LQyzRriarUYrWaTTNWZ
6GNzkYlj3QuPVLw+dfsRSzUJLeEAqGpRT+5iNO7FRKzxIuyqekPH6Uc3hrlMhkoswNW+6bq/7NrR
WjcR3P9uZbxCw40JnKNfJSFuvWkkmxhLDCQtgPv3zOkdX6lM+13pxr7qtZZU3yqHdotqULdVNzKP
VaPwUVLI2tB6kTg9WqhebJpsLDemif8oBnJddyJbGEovIyAgSZ4a2bluF8ThKN1OCc8u7HU4tidN
XRQegXSU1NboGzvzICmYLTdfE5yswmkQflGNkhXRyhmK4syuRRAnOPpWcd4sEmRlK9tUMUxL/Mmo
0PHGAn+Lw2TZTy4k+NRz3Wb4wupMB7gqrlHGvzjdsIAP9thG9Xa4IhrFQdWWeMXctltMEQCqEDKL
Idk51tR/re3oRsWoXNYiW4K8dsyqvgEHghmzLYIkSJ2fTNn5PBHsBEP5unCjHvmMu5DGHPy5yIF3
MZbv0tZuZd4WkldRJ51KMc+yzGUxtp/zzky+quLIV23o86laj5HbnkRDnsONaj5VLonklELkanor
26qUwKfwSW/VQBvZSYH1dzusyCkpLelw1vpDMqSbaWzXRRJfJEg7x5l2dtokdYDq6SKxtEycyGNT
9HXULkTE6hurressbalP4jCUNMJKhoPVrEYebxuaNTLOp4s8cTpZkdS5CAX6syjiSFJmJNAHsa6B
Pnl1z9M1NBIGuUgHX4Vfsv2NWuN0wQHnNbCV/ESgASgSxLqkD+tF0VRR0Da9DkTkKC/JzLioxgHu
r3obhTxfTPx7muleDn2ul30u8wx/t6zBeAbr3rOw/b2J8DeKFVs3VnKWQxY9RoVL/WLSlbTOShtC
dNlPOrDG8jKsqjPEGyWdLr1Mp9NKxRchzYqgZQlQypxqWboi8dBUF1Kr4pr3kVQNvRjLGvt2V3tj
ZZNF3diXajDlaQvch8dA0V0BeazXsXTwPrintFpO+6qhu3TsHnmDqi9gA96JKNptmE1UKjN0q9xi
kF7CKpXUahrIshPxh8FYK4hIXTA1U/1HQasvQHmB2zWm84hRyCt1c96VYyF7ZLkeVfFaU1JdZ20r
ZGnSbotyY2RDLAHeDfPNeSw1jIncYVhS030aODJAy+tSJmIIF1NbjMfGShOfEiKzgUTrdhp6P0xx
t8mtPyHGpMDJu+KbY9a8QpuQdJ9ru1lYKQeSSvGpiQTxKFyz7CeFJdL1ejTE+IPLB9k4dSgFxFWO
XOBm1iQWzSiIbC2enaWhPQGx7qpvlR4cWRLdraZwgrxmRXHAiop6Juw/04QvJ15uR56mUrVF/zXU
6Y0RwEbTbDhrYnPbkYZ4KWWRXxXOuQ3FxonTQURJUn8oIiFJyNA62r8F958KabNmffK9IebYFnCP
ZuAAfpzj73F+YhUOfJWlkkXcV19GZ7zFVXbZpLbeM9ZSdgM+abbUcpZlVW5LRMGmpqG+k9aZbCwh
uR1/j7JuksBEvhVNvRZshLx3XqfJpun0DqqoC2bGz71VL2yrnHyMj4u8+tZafbuMSlTJZHIvCxMt
nZBGMm5lbKfUn6LceNMl0+6lM0Q7ISKY4TqonVrm2FZ+He1Cq1u7NfKgH3ARQXnDab/FWY5liDrf
NWqjcrGxc75OijiR2LClQ2OfNWzFwvi7iz4N0xRMUL2ZQf+hm9RDzP1E+ZDIJnAH9zoc3Rtgn39w
AzGEhrZn6T8w2ro082uWyxRSi7BzqA3K86mF8MfD8ynCx2WsPyeWCbTVy0k059SNjGxzfumkk5/H
UwOlUpnKOM0qOaSeaKHejMxm/1FpXlxo2vqGkQ0qstEvQlxIbA1nDotPdF+fpxP+WtZqlfa955h2
U4YQoa0wyB11bJfRqXKaWKIBVxLiwgCzCbcjqxZDhC+UjT6Tql7lFOWQtJ3vmfFDpbaTJWyZVNm1
S8k21fXZyK1zHOZBw/7otAqsTJ1EIvR4Y/m6psEEu3ROvtZJmS6gFf06Lu1Vl0JURutQYQbBm54N
Nf1WKX1tN3gbVeFplwXYsoAU8iAasm9w4CPwvcr53hXuCfBf7GXxICSi3c1QscUIFCcLY0+j3M+q
AVIBEAE2yAqoHUvLU467oGjiG9cZLvJwAEUghbIP83NHMJ9oc50k2KsKEA320JRJ6TlusSjqlRtD
8V5AOYqrq1RFmY/6TPKBuxKL3tNWsRkU3rQuWcVEe3D4/hcxdb2XQmzvISPt59zqxXWt6NKN4utQ
b02vd9xeJiUeZWgYk8rh/jS65x3uP0dGe7oxgRumGkKQBzLIJ6AVn0G9yIFGQfVsxeF5xswiSpNS
UkOdq0vN4vq4tFAXDG2mZVdk59lgJWvSA58CxWVrZbZ9kjjN0lZTs24NBA0dAwOYoI5SBZYCYMpt
to6MK1PWaCiUrcojwiwh93ebiLTbJLLPhg4UAEhcqWx0sWW9dZUovLCgLX5lhfQcxKjahwpQS5W3
Q5CN4XEZDSdTxiHuukVQq+pWMTAgHI0HPYSLaeD5WVPxL25hzEpBFRGzfpJD17RwS7idnKzpNE9D
mVnhCncaylcb/toJ0LrE9DLMVRHAiR8nJNJLUK6AxkXk1InTbsFPmdjWFdCCNMZQzMdb4I7fuSHf
rX7d1EDj0h6yBWvd1IO753QcSScHKNHkkCerSavvOjFiXVBtPBD4eg8V/SJ2m3MdVbHXWuoLY+nx
wLWQYWN/r61+vLaTs0qEkXTDUnlh61zTSGwh9Z0bklqS2XzJR+uaGeusI/1n3IAEoxpQq2ztLqwE
n3Enh7yopm8oqypJSEwXrRjB27oV3JcLXNuVpws3kn2ZbRNbiNMkQsdZiOOF0HFQT0m8sbJ8YcJM
e6rqQW6C+85BTbeMNf5GlAISrW+oaUNvqJmfqtxZE5sHKfTXeCpTOxXqXPatn0/8JHOxOrXhz7Fc
l0m2Dt00iOO6Pc5B8fQdO95E09LuYyETwybJG5JLlkV+TvRxiUJ3OUQU6nbU/yjSRns5twoZT/Wq
0RA2oOtKBEXWn5DeoGDg+Bg7UHKo4SqNjQ90K/SKsv0Gh4eksgVi0+e131NrXDtIKy9y2uMxBoGt
7cKvEWWyqq3E6zN7UbpN4081QStU96cqQQnUoyBOwl+u0VBR/FkYcNCOV1BJOuYrazOoF/qrPLcK
L6rrTiYqhSjuQlXS55wcu/XEFlhbF12OSx9+OwtiDIVf4fDlQNpshXEI1d3krCCncpkLDIKAaaBK
AHLmppBse97m68xxVuPANnWc17IqeEBpaIGOAvJGgUZzOXQ/FOkHv29UDZm7B7WKbKuOijWK7N53
aRMo3AEvKIaTVoNQmevmtE/rcz6oJQIpVvaDGYLKWmSounFCkAJTlv6YBsa9DAo6D5joDQ+d24Kj
ctHnoSU7wdNjo+2r2m1WtqUbn3bReWtHFySxTkNh4K52eeHRsQKK12vggkPn7c9qk1mUnuuc3iSN
m/oiNSeJirYTChcZrvcuSgq/5lXqKa0sL8qsdYmvw6kMJsPhg/PGG8b8NLdBvizT9iJX5LqzFIgD
o/WttDDxC25vWsMJVGMs9iLb2oYEmImlF4nNKo8lwNtski2dwtgeX9Zh+1k1EeixEQu0mxYBzYxH
MWm8sgBltIzwpmuCuK/dH5aNP7EJFCmWRplXOGZagqC6Ck2xCjnUHVaSj5LXQ7mJ2mSpo1QBISuq
oORAfodOeLFxvQmvq/AkR41s6+qmtigOQriV9yXThZuPeMP3T1Gj8SZOc2fBUHNOhhatkhR5VpYC
t1CMb/q4efipjuop6PtyHzcsawOOAhUh1Dq+I0D7vHsq4pxtRviLPBs8VnAD3r3YusnoYQKu3kDM
3HRR0i0ICFbrlOBqE3XoFAQZZ6Gqotno0o59kGawZIlWG7p/IlEU57I1kdqM5QA/kshNJKgwUGyk
aEXHZFyCnFxt9GRWfVGMS1KWekMMhaf9T30LpEaM61xDAstZvO7URYGqJA2arD4OexdKkbtvj5Fb
bzQNfVYqN/dBkxfe3ffeGXP3E0jiCmAHW/56DVioP6QarxoHQDRFpWTv8tDv60l4OAbdB2RovCkZ
fniKSyhbYWXlC0FFuRkcB7SuQrmjd/cjFwnPZAWtPhuRhMUmaSH/lNg5qRIb3mioc2xUki7B8/Sm
TeJqE2sTSpR01EMlTOLdUwdeE/TY3v31Ehw3tQGWq5cV7kBS++sNPZKHUXevpWOB/LGF0P7XG72C
BQxSAZlTGsJbVDdLKCXV5q8ntyZRDtbBi0nSBlWNlZe64AWicVtZ4M5a8s7alE3U+m2EM18U1RXP
w2KrIuDDxoJs2oOAXRXhccFLey1oInPbTAHqEPJtUxC/bmsPDlUXfpytFUqBPnQN/HkAKFZS17Ig
8GTWEjLBRVFC4u/Hzr7Mw/o00cCRUsilcsAThnzaJyc8jSZZTCDyMpyFQWzY7YStdqVLs4aawDnp
xmRZt6IINKhS1nCFo6r1CmC3oEIyGVFx3YMb+sgCVXFMik9j2vRLOvaSw015nFJyk2BILIMDCkQ2
ptcozPWJpTMQ6HkcQIzejNGwTwJRAnVmjwMVduc0d5tje4oDpMZ6octyMYkqhHxD0lUL0pCnebSZ
iMs8CHPKm0yHQYaxB6/I7FVpj91GheaPyio+2UODgxT0IKY2XV9cQJ1IvNjRfJ2HHZRLNfcgSBJY
D1paaQdPCkgcjr5D7ZufawslCxbmLizaeF1Je78u9Y8Kq7PGPo0oXlUEShUyLnMOumfhfM5Qa2RW
k9vCYlc1FNV5pY/zfMzXZFQgfdLQo3m6hR6/T1nljtJxZJGJNaNdDYsniSMjM1w3I9+k2bXBJegt
pD/7v5R92XakOLDtF3EWkxhe7gPk6Mx0eiy7/KLlKncjIRDzIH392cjVTpe7b/e9D02jkMB2AVLE
3jtCdPDv4rbeT3F+bXO1qpvqG8B4xPtSzQgl5aPyMePqSqfjML6wMr5ZfmwdOaBKyi4Jg9peMZ6/
oZBrMgLBBxGnnmljr0vqscSyy3vsA/LkW2BwRoCyBbOf5YCZtdLt29R6zz3+QpIDGOkHTDqD231n
Chh25d63/VLZK0gAVIaJr7qn5a9LfcANJxEEehvr/jUcs5vYgnNeEfyWDNMQ/Il+vM6zCJGbn5Q2
eagp/B+Nz6OoC7mltf3Y9PN2dDWiRD68dVMP9wpxLhBwrJXuvrZ969D1D24+0zWxyx7zWbR3G77l
brvG3IhVvinbZOLlH8L3CzAmY7WSKsl51aYsa7FakjlRtNWJ56iH2o1/BhnRh64GBuUMk0yF6vqz
pYIpiacGfl9PEN2zFojDlgyA6SMrJKknonHXMB7cSKCYFdFlYoPLQG6BXJdtP6RS40+QYPaWfzoQ
Rd5rI9R69KyX67JClOpSkBDhQJ6tYFplfXDvDPkWLKV/ckHB5WNvpdQF5k0dAL60ObWBx5PlebQg
kjcta+PEqrqTo6KnsbVfMVd6K1l538eqjRDL4m9u2jEpRvVTtKpOrGKduW227adiQnf7EPgCAIIK
4Nh450zW9WaamnYDvEYkPCdHB2DdLggr+6ro8x9KRuBCulsedH+GAkCo1iJRZTUCF7SmlMe6SAWI
CBtPceXNWSKZ96LrCI8njtLGj486bu7o4L1N5dgmHQXmWnUyqXtZJD5Oli7OwyYRontzOzupIv9b
wPGRUj7ic6y+taFzjtU4bYgYp3XrW9ui+YYgK06hFIjSrPCD1J/afB/TLO0EQsqyJA9g1H28pAB/
4ylE5OZZQBubtZeLPOHdCNeZ81Xz3R50syIlxarK8Uii9kDC6sm2yLXPy2IFGCFn+qkbm73rT+fe
yTa8D/CT3chPBR/21kSc3Riwh5yRZhMF7eKmgryLLH+bZQq+sdVg4swX3x3RVuxuVRcAGHEHhO87
oNnPFvOyDY2wmB9E6BzbNnhp4IJ1RHpYS8WK1tFdEwc/ohDMDV4b6Q1/uJW+rZub0K3WygcMOFO8
i0tHTgSI4IY+Ly98y/R64PHa8rO951tXc1cBnBj8WyHClaXy127MdnFQbfCr6dUQAIuLJ/tGUSAx
cBbcFVHzI6vqNs2FdVeK4liPP6yMtkk09ntN7L1qcj8N2sxLfAfkIYnWXjekmgzZ2q2jImnCeEU9
aycCdQ2c6jYIgxuv6G/lYCVSBquq8M7m56q+yBNbCIZor9i0YXXHOrtKXKgSHA2X27c53s4gpAkc
JHhEQm0Gv3gM2RyDdc06qAnUH1bcb6vIZVh5lhiRAGQjbrPOh7suxLc02mGVRq08xZLeBY5YeWpq
t6X/GgPHTZBg/7PGvDUpsLZt85g3+bZr2YFI69qLxyvOMCvO8U0ENMnrARRlPcMM5nuvXaGuLBW+
9FH0Z1T8sCsqEnBnDxLahy7PV7YMnURUYN1be4fJdQIoDIR1tnd6al8A4yJYjHKEkf1WYqK1ZPOa
Z+UdxBTnNiZpUft614+0WI1lqNfwQY7Mzq7s2H/ARk9PdYV/sxJ/AHzLPVdhsYrxu0CM0iQKyHsN
KUUNGiaxAJ/CJ1+Dfb3KSbAGHfhqD4CMh6J+zMf5auR3Nul/2hl8HFek/dRtC3wnWGi3RT+ebSwG
DgNl46t9XQEmdjRwyah2yrRxwLa3FsJ4BU6szt1ta2tAzJV7ijhfK9t/brS9sFf0UNF+JaFOGEJV
IEoEl2KTNGzq7/kwPnWit1OX87PH2jrpc3479fItioAgCX94jopm3fXdj0b5L2Ujv8kCbsHAH5tg
/O6HQiSjnG/ha8gN4scQCwCf02ISr6z3NjHYiQRwaTLI9gfB86TR7OJjCJO5ctZR4YhdpO6z3Opv
88o+1vPKtZsmBdfnnQvqFClWGrlC3KZTgk+p8lY8xBOth3ley4njTSBtA56yfgagv4Lk0wbh1YOX
dMRr30ARQLFQgBbzNkHfnOwSfLGPfxjICXIGhhf8rZt976xgY6vmIHt4Pn6ElRISkgOQ1xti2SwJ
2T6f/ddpFD7+qR8i5bwCNCtSZxq3VgxNg1dKFBLzb2mVNWnXBykgtjot3V6nsx88oJbkfmQjZp8A
LNzkqSMJwbRFbVAmgRsqTKXDLgt7cu4GgQDUtX5WDe5CrG8Ss6bdNUMSlPBbSOs/QRqw82XQrlGG
Wu0ZIGPj7of9mxsAn+ozq01iy1mW5rMcKRyVBlOmlleO6H9aPn6LznJ+dG2Wamta6bjE6yPXAYQ8
qduSGLIOZy9w3c66ahz+KFw5bLJKEARWN7bI+WEAU+KVC22mwchUIEgr+hDz4Nlm4AUyOp+UoN96
ezwEXSTWTtMd6MA6/JT6D9VITBmuvpW53oZclElXikOFcAioAqiQPmqS0MuhagpfvY7rRIRkFc65
AyApXwdi3snSWftg+FOnyoKUAQZJwB5M28oiT43m077pSqB0DvjJkD81rj4PcCK3NHLtJHbFLVwg
aBRU+Azhza7VbZzC3WpTaiv8RR447kGtHVs262K4VgBXx6GZMWUELzPgirWuMK/g4fobabG7psma
tUMrmkz5Jqiyc8W6Z1fnznqaPb2yIEzqYg9IaJhtHU8m+NcfruKs76/A3qQhGFeQQYe6Q1RRdeTa
oWO49aL5Ea9Ci8XkxiXTtIfs59YK88fJLiRwayy1XGIha2i/zuepWkEe1qzgrDnwmvGXY4raS2iH
qALu03UFPhV8K4lqBJy80IJgKoiHzZTLZldne60nnmQICO3GAz0/gS51en8CThDcxArCkIrwUwHc
agvO2d6OjrgjtfejzkR+tMk+FtctguzbwdGHmWXeHpRZb2s8kr6EZ4MFq8xHkZAs0nu/1lNS2yTR
dQ6tFNC8eijhRzI7aeP5sQcsNLnyrq+mYzO6QQoO/1vfVeXKI89x/TPow25ldZwmtsvvSq7vpAeY
rgVnqbpsuqPiNqqygwYmElqAxSqg98FQTJtCW3+2WoNS4lOAaXmO08od94QMf7pxGawKqrZ+bj/6
1kshgj9sX6eTdOXBk1DOeCM/aifT6zhzCdx3b80nee3q4ptP8FrLuAaDAT2B7lZlVMiNFbBgM9TZ
bur669GZ7ZWvXICDfb+hzOFr4NFR4opGJ9qzMScquWIe1hA8Nfg2+b4b1MIHslQVNNVVvA1mP9pV
MtxG8zfAM8AIAyvcRP34Q7qgZcqa3k9z+Oy48zfAEY+DdLHANXG7tcrgepYDsGj15rRAZIsBLk0L
1iYrAp6WA20wTex1bQ9bEQ1T4kwZWWENxWtadDd54LOEYRvLVSjGTS/JvomB1WdR/qoLRG1D+TwV
kD/R4aVj8Qb7QoOXr2kDh2o6gRA/qRnMgd1kwS242dCTfwRyjFJBwXoMw5yvJoSfmS53nQ7PEY+g
OdOjkyos2btAu2eS+XC0AHUSb8M6vh0nVyT17PyYlOxTUTirMst3WPuybeU8DrFfpqCJIT4pSrnx
LJZERXmTE8bgnY23sXTvx/Cty8sV9pNjKbz1H3U/PAd5Suu2PBUkh2+D/zQkS0kcFsWWUn307AFh
rtt1iXT9K9DdO8GDdR9rYOmdvUPUZwH3W08IxNp5HVTlI+dDwkpPJ7XfeqvY1vOqZykd5J+NFNU6
HjJnFfHgh6/mOhFlHqxH7twx3+738yQxNavgefgRVS7biQZsEiDGIXTshKgCcE+PkEvWG0YR0orp
MSLNibkB30ZRkPRaqhVpHjntmm1c6vvAtcQVx/cLh6/I171b+6thZt2mLQZ3DZXM1u17MGty53j9
lILfutcZdfGxnkkLZN2h/DWIXL4f3fHcWQTs/DyMq2Iu85TxWa20T7axHMM7i6g0COxjbnnTmgFe
gZxSpkPVDimffcgVix3IHLqu1DTuiLVz63G4FRl+MzcfodAbweFm9dqz5zejPv4ljf5N2vsT7lcL
Lduvzdo/mv/nASR7VZo9xC/GZa/3Swu1gVuzSfy/jsJWWYvEvPs6aPltPu512a18EUd/bF3+RW79
vq38/0WL/a+dvwm1f37eb/0vGfwiYHZ93/xDvW+t/jeZ9pdS7BeZtrnul0g7CP4HRSw8VFT2YxdV
ZJFH9K7RRvHS/4E6G1DhsuWfEVv/JdFGySUP8AWqx/3aMrN712c7KBCMLFekizsuWPrQDf9/9Nme
g7/mkzwbybRI4bBjJGu4EHwv+3P+Ls8unLyV4BnJH41XnYi0vce5KdxVzXS8dcbAfZz8xoWAowV+
sPTakeW897qt9N57i0L86v2na82tzOB/utaJX3lWsRXYyOZgDlEBGAiI0l/teIY3GS6HLzZAgIiM
341WdwxkP+8yX7fHy6Go489NDt34oRIIWWPvKauL8ohSF1lqLc1GSQCuEwu3btD4Ty6cQCH76ZzN
GjEDW1eQgG6EntQLAaQoeyd+GrN5Q+K8B4tth9rH8qfpQamGHswZxAGgJWkWQBOw9Ji2oI53NULQ
LpSdrf0QwUPfenm2iibtHOB6hA1EvpFzMG0WDGerovaPWvB8p3JfHnPNqmOxHBidw7Swaz/90mGa
5gAMojqKWlgdAHmc1jtoosTR9BXzbK0zNucQiyrIrDwdXQNlBd1b0+iaLWd6nmd4FKQC6rmtOq/7
FtuNddMXFShwiyFmr8fqelwOFDz8NQ3h9JAagBy0utkAWUIZlAD+AD55fX/tZL2+zmrLv3ewN9Pa
HWm2aeeW3LOsnk4QfD02ZUlXNrPJeCdE3kFLmoYB6e4Gu+jv8HeMO8k5f7eZjuVbSWKeZ3vTxHKX
3f3bReZGBRl3XltVe7iWCDEJH9Rhggzy08HYajecv9rASjz+euaRd63ycec7U3FuPYiXKYUOpfMD
J239gN3PnXLgB3bzKnchJmlE7x0cB0KeOsTkHYHBuCYzli0Z6erOnaHbIRBhP4kihBJpjsdDDZ35
qnLnAtx+l38zZ8XHGRRo/N12OUO+r7vLC4ZEgqKFdCqUWFcYQobUtCc5km0GZnc3OmqA8hmKA6ub
2H04C7nT7djsstmO7iALaAH7lvkbQ0ZA37DypafKgSrU4ifSu/SYecJf0V7RTTX4QINrmkGBZ8Ml
xUtfQV8PTpcpBmI3bKtrtRygdSQJRDJYdJcOrIvMwXeDHosBpYya+mc4zKeGFi9uXk4QWMQN4iY0
pRxHSKNDbV15Q/WCzxN/0EezlX572+m94+nyoEnvNYkPQf4BUSV44h5VpdbepAG/LMb3/rxzfkDN
ynZhSfi6YhYAeaiuoi2xflp9OZ9ESL3rEu5tlIeF/jYWoJjshmcR5LJLkoBDagXwUKibGF7O+0FC
5zbH/LMlQ9BfNa3eQtembuZiRgjrGtid31aQoySuasuffMp2cz7MT6RrIf5uljibgm7HAbMePZBl
HjHN0kwmlzYe4BmcJweZ6OTHfnTKE2v9EJpHop8zah+Dzg3eGNf3vib8qYziaW0Tmh8BkZcnjnLN
70NHqY+5X1ZPn5bCf8j+QeWfL6sLCga6foy6j8teglholtXnU/IPWE0+sIBFf4iAF3seC/iFbszr
K6sGsQEWBW1z+rX9dein9t9Ov17bKS1Sq5/9te9p+3FoMgj61XwuOc8fqymlZQchcwUvqlgeszk4
gfYxh5XiKIv+3V66FfMS0xstV8xWS9dm3OWyjysuduJqQInmiv/+GY1sT42c5L2KFr3aWE23YALa
Iw1YviJBX79mAuko0AF+K2PIbPyIlpusjerX8dDzTLx2ZdVtel5Fu6AQ3TfLKvdlLqD96+/nTMsb
K+jJXcmGU6bC4VkRwnYaG3asnRAuuxzBECALhJ1LguSANgud1GmhFolbxV5G2qm0tO35OErASqUA
VrvYu2hma7vUFHJpIp/0AHp8sQ9xHm5UD+QMPDV7cfrzpBBOUSWt3ThAmWXM2ejv+7zmj1kc9Yfe
14ikpoy/eG6++o+3L0IW22++DQpOIAfV9aFjgIeDV/H3t0/nXtQFdsDfckd4gqdYunJb6BcfKRIp
RNzwGWrq3Q0aLERWqRe7ADNnZX131J3y7lhmPSl8sBtnqvIVokhxbD1bHMu6/XVmbFZU3giJgOaL
3Yydh2DuAGLi2kt3HjQ3rdfiX/wfbmdsdpdvazbchsSv1vMwIHGqL8lRtFG+LitohfsgP4fLx00o
uWkC334yQ13m/xo6asTKH0OrsAjfKsu7yevSeQqoqtYO9NarlvUZglPLt3QtbxC67vFJAtHw8yxZ
zuzCF1mSDezX2e+9X8dZM9/MosIVv4+ros65clvw25GM7aOl9OdDXDuQEgTt/ov9MlaAWTuaZkCq
I9ANuuNCAbm8DLlca2ykkmd3KuadudR0GvvXy5BjcWcJd1rNlYCyolAPWDyhtIyc9jlQyD7hfTT9
yOr+pEUG8DgXfcK5NSAthQPcJXF7BwF+m1pEPjpQq51dBu3HR0vHmYc4tnl0xzI/O0tr6TMtFyvV
ZeT/03V6+Qkfd7n8vAw/wbQ++i4/b+m7tD5+MyIhPBU1QuwcaVenqM58MA5uBVmMn52MzZxdDsJ0
gKhKA2f+Ne6fBrOZ0t2/f8nh7zmkPmInz8PmmfFSngmb0izpqp+XkZlxy2WtZ72Bg7rvdRvdQleU
nzpBx9R80XAJfg7Si27h+vBT82GPYO8+7CMwTejVXLW4ED/nkMefxhu7l4U/C/rK2/gu7gs9JPi4
nSOwqV8v7PvZYrN1B1aGB36CLE4bA5eX2nSbg3nbzJkZiNXRT1CLGnc0xvebRw6VaaOZvbIqOMVN
AUWlHGN5aBanuKyAEjLbA8O3NG0ZFbe9s0CmaFXLwaMZsgfmsjpw8qL7Io2oIoei6bvz5E512gMU
/tkQluY0mF9KuMnry4iAvFGC3L4o2IeeJ5LeCeBkXdq19x/ewLIp2ufpeHmKS7DruqC3sKfA16eI
lJsqxBwUvVlZ4RDkRziNuzaBYeVsAaRYD6YhxG4itfVQ86C65+oVjNEBiHV2CoIWXuFHs6Y2fuF8
ou+9MQ/b2zhToKqsHdGNe/R8wNJdbbtHspx5i82cGdult6qptb2MM2cTn+4cqflxCpGVF/ruvOmb
tjsLnf06mI5qiGcEhX/ZzBCNRTY1HTUpIKRvl+tQ6fLXbcxoMzAWKk7+/UsJ/v6lhAgOsf95DPTT
RUz/+5eSkZFb9sy8NyJ7EMmcO8fh4xB0HG+qafe9D++wztZez7uri6mReDAFH7215sS/trjwr0UH
NbnHILNXg3/tLgdj57lfrGOFtK4vHaZ3jgEDtkif7IfY6veV5mFxbVdjvuJu+dzM3NlDWtGdO2hw
z95yttgrH/L897Ei98XZH8Rh9Ef3UbtVfBOG/NBOtffoCRXdLH2NHX3q65aW708PVVUoiBmtZo90
lvxgzvJJ/TorPs4uvZezDIkzB+EiR/Xfn43j/f0DwHYOgR8Q7ES3VAW0f384LGS0yJXdvole6s5f
h9DjtkxZpyJqoBKYx71pvZtCh+qklci4zbARNIStpr2MNv254OpqCgHFy8g6gUMi41bF1afbmA4z
lqOSygpkQJ8Aoc0hGNfWdwJ+AKy4kyUASFQf4v+ZdzO7snmZaJ2lRS/te5tpMIOVRU9Nbed7l8sG
+RPMOwksmmsH2tB70HV5qjqWvSx3ZCK0lzv6NBN3ERjQrW/VyC+BFOWnb9vbZp7UMx9LutZWOF05
RUBvzIiiDSbor8F29+Z1XV7P2R/sY2jeWZAp0IZCoLYZPnouA6FaLVZeNkokF3ndbTxXSdHM7N5v
YnbvToO74nHUQdQE28eIfm6gsJ/pXbPEj0QzuXEp5atuaRobL8Jy08Tw/UITcWYfbYlI7dYMNDYr
BpOlnby7NR2Xe5UmcAXgnTjQX1/5zZLhFsnrIZsRDy9noVtW1zWR5OAg+eqL3YwwncuVZujlIrJc
2S5XftzWjDB2M8zl8/ttjenL5b/ftour/1izo7+97AQ5dhFBUgOBMJJ4X9ZsJHHZuRKS/kQ64spx
wqBKIFNBhG4jTA+cqDyYJvJIHXCxyD2pNGLCxHR/GZhHLAzT9+Fm0Lzcw4y8DDe3NE1zy6gm58L1
yg3Pe3XNfa92k56CiKwPxqJBHV8LYw7rnG6yyZ6TAou6C6ELrjD9QG1RByEsxFY7XF2/d/+6iwMU
CSKIkqyrbF23SEMEYjK0RyeHFnVlTs2hswoIIrO1adiT3x4/Db4MU0sPQ0WkA8RO2GkGtzOm91M6
cCxAoUc3tCuqUyel2iB9C8nhwN6QTw+bOZAw4zP4XbSjKTzWtmr3AevZL9tlIIv7X3cwtrgm8dV/
THf+l+Af26KiggjCL8T/mKGwdfDv010W65zEdW/9EJ1Y98AuvMRqo2blVMO8MmvEZS2Jxni+jl6M
gUN4BjHOss6o0mtWQoP6MeONzZxprufr8SdmkuWuyyr1fq/f7//+Q3ke/hnikYq57G7L5QCihdl+
c/PuMyyOA0LwiyWLkNZS50d/cNMZz+VW9AW5j60xW3U+smsyqPDupUZeRtAglcn0zs5M7pcLfKT7
vF8AxBUXIMuk6Dq5Nb6NFYthhW+m2plmVjbDyi2camcvYDqjf/Ua5P3Sa5B302svg79c6whbPiJx
qAQDOf9JlVveMJvJ94OVjW+6Fs7emEznEBXjPnfbP0unkzcFyjwgd82FmDtB4bVhk3tIQl88x3zs
RKpcRc6NsodD2KFMCulo9gIlUtpSaIm0pqssayAJmAcGkVfL7sfGY/eOgEos662zMSEFtoIjW7PV
RHKscQPoSqT4yg2zOKoROFV8hsYuOofLWU0yaHQCXSAH46+OWcT+qbH0IsWLzhe7uQlyx8dPHcAK
oY1E7YnimlNfH8YW1VeIgDeX19WNbQU/exXOz2qsJEo2ELUN6hqq0qE6B0M03QnG/mMiDFFk+Te3
F6gYdmi2feKEoG28pXjs5+BlmGiEhBo9/5ghf/bsRM4mCX4mJ/hptxV0ezXEGv6f3sjig87t8R6w
bbcTYTmlpmkOY/0QSN3cmYbL8d5g7yEkjC7jkRRNTllObk1roHK8Hzn9UxTNcHCRHXgNbNV/x7mU
stbVNFkHg2G9Y1VFFLMNGwsooT7GeQbFige6bmKysoor44SVyBzYirqwV8bvqn5vxiouV32IIiWh
S05eUd0bcN8calHeZGNbX5sWxSNYo2BEsH5nA/I2uIyvHOWlIxzUKz+fvZU5K4M5emhUe5wWnMbY
fSX8q7in0UMf1V/tHqr3bFXO23Ry7Iz+lydHFlYMLiOqHy2coI9SRgH2rvdQ+SfyPR/45u/PNGrc
rocGsvrRqSlaSUrbfV8O1/msIF2cJZtPWdXOJ3NWCdntg7a7RjzXEaREYvDSLCeaIwvfuyuQBHqK
K17u6jhmV8g8LU9hroN1KMv5HitLnLScl69hOR/EUENq1xZIbB2F+xYqqDOlTa5dYIIngPgSCFek
wCst2hqN1K0kKBSyDJF4EId6OyBjM2GjK/gfruRQsSlWpnpZei6HgPHuGC2Hi22ErgJpEkgcdmNn
HcO96++qMdhL2u5Kd/aevJxVK1X7ZE8Ky3vqg+hI3bi+gx57ust7esAUKL7V4RnZ8uKIX0UczZk5
RLpV0DSN/aHqCmdnbG08giFyM3v7HjaDeHpAPhLdXgJtE5tfmiawNnH3x1hjMiMCq15TZKTuuzpT
kEv/ddCoJIR833JXlr2785DfB+HAR+97O2QgrAKq9ySf/LOG4hnqoObkLS1jgmCjOdj9fDItzDG/
7GNl843K7Qm1cP6ymSHgcF6cQXXbCRhv+yP3UL1q6udg78kA4Vetsu+lJ70U2KU6VKqUT06bv9sr
Squ9YnkOXVHGvntVBywKO/uc/VIGt47fPyI7jn0nAEg2Ip7pVlqhBImkGCRDtJkd5JfPU3AvvYo/
9tXGAE9+B3UaGgY/8lnEPhrFMiwbPw3L+KbJY7b+d2/Bs0GCf/mkMDeG7lL2FJ5DsOx1/3manL1J
1rHU3o+S4XvBvl7R0RysSOcoQ1D0SKD+y+azXo1Id2h/jZFFgcIsoB4/RpixX5pmPLGVTFBWadyE
TX/PLK2uIJwAMLocFLFTbGE1X19MAYecWzWu3EH65r8PQwkosQnsDtrwxeZNwoFcJEalsDia03ru
yj2KjMQPTYBKXIFXg9FdmrX2W9SZQi0a08yVBB+41I8yzQG7zJ5H2z+ZlmC6esjI+4XGUgbjjuZ5
CCU//5nbpTyUi4pm8CEvNhSYWgKQLzZ7sYnfx11sFgFz/c61fblu8CJ1IItOSFvZdyhsxbduHK21
4zIsKQpF1QJtQ8BChP3d1tnedobg7fehIsTq4y9DSTOOKz7P0zZqGSTxKIt1HS2HxgacizxbaGAK
dh2QBjVsTK9pT9GM4k+2v7dat7CRUIEx8UjYdWuJPvWYkqhA8nFdY7nhtoigA2gYK86e7l90GNvf
8iV91i8BjplmW0/+NhQMeYJLb+cWyEuOJoqSBsvgAnndbjG2B9PMrOY5JGw4B1nrfGOiSyOP/DFQ
qEeXLc/vFWn4qQ6cZ7OKGRO4uQPiW34Oqzg8ZsK/8xWKliQmIHOQsIQKHcCSLpHaJSwzvW4DQOlL
vGZRGwXVHB5dxZpi9ukHlV813N+z2S6RVhKBclfdwVsOGfYOA2GIM408W8x2qD/3YTJnZpgZYZrm
YEMQeKDU6bZg3ZFFkA1QNNHQW1cV589BVSlUQVD6JFBO71usziwc+bNNCT2ggJBMTRMCQH8VBna5
N80KtWRGJOje5W3+nXbBq3BUuMoCOl/F2CXjsWfFoUWCx4ux88Xu+vY/2kNg6lfcghLM0KFzEIu1
aRpO1LChpuNCm15sg0ZOmLb3FnI5T9Rm1QaLnw3SG83LIf5oUpuUCWl8vjW9GbAPZCws3W3j5ifN
97RuUIcgzhvUCvDl2tNedJoRhicZUlC+AzjQKWcBPYxAJh/rgeJj5813XyCXIneLftNpu/7euP6J
Y2W/j3wWv1+ul2FfLi9RMszY4Sr5a8isj7yJrE/yB69C2b68DL0rI3+AJ+CcO+3gOUA0AQFgnxIN
LzEaMnEOh0c+UyTIIypHcACyEcVprHY95iCwjA07xIHBCB9RGei3YZI8iwmRT8JqK7711R2En0WV
OrG0VsL1+IZ4A7u344Yunc2ifaBjgK0qP8pf3rw7V59LSTpkQQw+O10uQnjUowxsbCgcoAjDF2wz
RPGoZpRj/VJTZOaV8L8O9shlm3io4tcig2k5DyhBfmVYQ4PPAj8lput9gOl6P7QEhQcmXiQgP5vt
WMriHYhGvZxmG+HdXJuQi1ZBDTV0h3oIixQqGKtfvf9L2Xktx41s2/aLEAFvXstblqHXC6IpUfDe
4+vPQJa2Spvdd3fch0YgDUpssgBkrjXnWCGMpovDrSr0C0LPIM6aqnkurSbY3vvvUojuP4NivtBE
3Kc5cveM9PWaqekMWg1i8bBfWm0yvqkKeD0/SCRCXOXw5nQjskpivA+R092mSbidjkkvqXOx4GF1
Ia9cA1P6PQtxXwl9yWjcJ39ZTn1p3j+Z91Rwy2LcP1Tt20MNWe3k9PWDyEsmQXeBCtW96qVRLPUw
rg+OFDkHyRv8pSSFyVulYe2sCPA3IkBMZWrv6vIunSl5XZx0g7Uv/tcdb+3hTasM5K1DSb5gaopp
KlKmQ6606SxzJ20niZDz/bvsDclzm/fy7vZlBl7Wb7SEPa6YIg719MX3zey56TCK3fvvc8Vn3m4a
ychunxdmA2LwEZ07m9ToSiRaWfSV4Sxzxwiv4qAmwbcxwQslWm6n2Gc3ehMNcY1vuepWqycEz3TN
P31On0byvyyxAJr/7QaCgUVUBpER0Ne/7VqiPqoSFy/Ut9pXkx1xOf8Yg385IlRK5hGbj4WBY6ta
iM5/GhYDdW68g9jJ92KjWTuYn7z2KhpRWVZ4A21/LZpS3yhH2e2vt01uFMmfRWZ5h7a0IRUoyGDd
vje6BfwNb6EVebboysHcFGHzGrD1WWYBIK56HJ2ToXc4NZtRe7VTPdyJPnOKD4SDRC7OBag4tcZB
byatHdqmrs15Ambwomap6+gXe/KRTTvjRCXyIE8QS7FbBnrhX0hkz/EcdI9iRqnHJHBSKKaiWVim
veumQI9oKpqwtATdOtbH9JDryJJZLT2Y+UDUsKiJMyq+3C29Rqrnvt3gEBNDlSR/c3Jb3wyON849
TPGbbEjbhQeG9OpbVbsYCe5cvWgA1jSdhVNfhtniKIlluxUpDu/IgFR67J8NXyVtMh2qgvyS6GfT
dxatMQDJ4YfO3jYj6zxK7bt4dFSZN65aQDJrsBXevqlDc+un7qWO++ooJGu1mkZb34ESZU6PdHGQ
Ency21VH0brPEJI3cdXvzxAzAq8fZhp3/Oz+XBQPO1Wp/GPt/vjSLZpWq/pHQlWicX9kiuejGHOb
H/eHpTgr9GNb2aX5ML2scjuMDhq5uh37RsQwodEdZSVDLGPHPfE+P+CXaoQvUCxBnNZF9leR1Gcn
1t2fZv3RpgNmO0nJYQiP6o+qVr5hfEvfvQhIX0rCY5erbKhVSbOOeBCsY2jV1hHKTbZNFcwSUYpF
xZ/6xEBqP5pAfFnNS9MGvPfAFrfQXO+huT6NV5nTHvkWXGzP17//Pom98NYT/udkGqoV6yT5bbQ3
5dg+Sn4F0KorCS02Btwq0ekok0+mqN18lXZWcMEGa+xyGVyU39RyPIc74C0kOXJWYnHA06e8hJAf
JXtdIGI73J9/Fr+NFeu9BMn5tF5oq2vt29LSUpBZdkEUPzH/TXH15gMTdTJrFZI98BarnSXnWNJL
ckgWBm4xI2uUYFGXZXQEFQssx9XzeVRY6laCjrkEW23sc3au+3I6iOb9UBbyutNif3vvasyoW2vI
18cXpYQ3Q8B7SfDNf1DJRp57MtlnGxwkW6rRwqOjS7jvgYes/MKU52JYnyYGvY/pRvZIZGKRtAOs
8lqrOesQGuoOqEN6iKNaWTVKyZdH13WcrK71Crr3ez8a6WceaTPLwT0/G71hIxVl/xFJaCmgp7hg
prG12ziZHzO8E46qmpe4sovHLGyCJW7FaCUGtaC2Tq7krMSg6PIUHDg1AcmtaEpy3O2NSdufdFGd
E6eJn+NQi48jbI5FbqDHXRWVnCyDhHSIH5NckXWTHIo4FZ3iEE3DtzNZNbJZnpJ8uc8RTR635trW
e2kH2krFUKiXwQ7z/Vuf9c7JLRLn1E5nhRpIcznKh6UY6KKs37ilB9w6GaHAuAGPFbsf3lSVzFlv
veat6u69PoeSQoinSPRwfBlTIK2NoYZXcfCkZww07lki6HytjbTfK0P57T6ulTq+kLxXF6JPhXtr
Z33IQsFCYLaOh4BMiZf/VRs4kMDhAxHtZOtBUYZuzjcl+f4PM3JPVlZdrr9pbM+uHvFPjU3Gs2iF
hvdHaxpjpUHKeZqZKdLy3prGBtOMPhOCuPs4a8Jzg2budr/hf07XIIdwhv5WMKdVu8e/ueImTR6G
WpFeDIDZZTm2T65UtVfIa9s4zqQXuMb9odBiBUgSs8K8s9Zh4YPJnUbhbFULv8pRF+dICISmWc3i
+Az89I/NQdu1Gdya8NdPEHpasq5xm82qyNYO/aheG8y4MX+ZIF4CV+rJ6NrVVRzIlz70eWYARq5O
hhCuAFqE2BbUBO8nPcytMx6MbN3C5Fu4XsgrzJTYm6lRes61NkUKK3Wn0N+Knnv3faqvGMlZDMSJ
0k9TZUty1m2ON2ITZLKK81KrZqhL488KcZmSuZ9WYgdkCOr62YARtQQUPx76XFH2lgTPa84iUQLh
ichHA8PrmGP7LHtWuQOM+Ee/DpLjmI3ZR+Il2pWXz1yONedJRFoyfFVO0OVX0QpdLGGt697iMipB
UHAVRbYTg61XOwsScfFaNANtIn8HFnjK6dPMoRx2lioB3LbdatUqILJVFZzR6JbGQdbJrMAFMMFO
1v4H994FT6D3rGu8wHI10VYyeJ7jMGW42E1j5JaCH1YMcZRHcPPojp60bvxh2KBCaq/xaDczMSUE
nIdGTf4WdyCDx9ZHvKYm7b/EwPV/WExasmUptqbzBda+cv01dJ2e4uTxtwBXu9kWzVnRpOoa1Wq0
yyvggeiU6qvoy61K4aEfNzg3mSIGRs36elUvKZshc2rp0YBkmo5zu3eSaKY39xO0FclFkz11STQK
SYCl1dVeHNwEdEFmyH+NklQBg7MwhamWCo5lOogpoqmnNdeJ0/vFf1wjPqcfSkpZ/M/dqxB3ZH+k
DFSL9xDun6lKA0q2r7+vCkqn3yVa9662Kbg/D6OqNq0nlOkgznI/5rUeyPW1DGC3ir5gWlR0hcEA
eYAKtrIG+mHqbKLAPiaqBkCttdgCZR6bUVM5fTlrsTbe+vrfZ///8zoV1L4xkdimPKWBIHjm6wTW
xLZYND09jPYiMSmakd6HfzTF6H3y/do6AwH2ZfK96VXgQPxYcudyr1gHO8uykz1Em2RScogD8Xpt
njiatiYA6z/Go5OeTAsCKs73jzIaQFyhhLrg01A3ecQm0geBzb4AumrYt+aPiIoR/LV/mBE0hySG
1Qv4rJqbOQQOu4/TN2/gkS/5vYJrlGbaW09SZqWXVCUZhzoProKWvAVxVm18CRTxrRmOAEc7dzh2
IWxRHJthMqa4PFO8sLo9fbP5LJwGwSKz5WonRgddmjt+WiIYlXu2E/wE4sPkBByu+AluTcDWmd2m
l8ZJi2sFtiXxQKcbRghHG2HdouypMJDEuXsOwkkjGxXBBzfHe2Bn2qMmh9rWDBR/VYFI/WZbHxLM
wo8vF7qN8vq/v/+qOWX7//z+E6LCf48WxFBlVbeFOOoPK8Co8dSUHDN5MXvWIi+6Yuuryg/NYeVB
yW8bdy+Zmrv32+Lie56+Fi3RT2bNgjM0jYo2bhoi78jANl2nUy3EDNnj+XqWzC21gbPqwn3UWqPH
U27m58xs5l4ZD1fRlYIKXrVSWi9EUwzoqvNolg2CwekiC3POofLHZ9ESh95VwJO7RFVaJL9QDPEt
WWNlrbPGHZegw7RXFpnUBpDr+GAgRnjtA1QJdjI8o6TztkVo4fNsW6Oe5FDjXNUtuOrTTXy75cWt
HNTZWtfLvddATzN4La1DZ6xOOkmv2yGPdHWmA1X+Y8CfpogrrOkKMTnNzQ8FxO48d3L8ca3XkJxy
omJf/z4rxYhok+i17bltW997qHZkMJgo9fJDLZvnL3EA0bz3BdQ3QcV2ED0Zr6PjPWRQg9siy+bq
M99O/R0OEOnFC91vOs/+k2g19SnWM/s5Ud3kIlv+ibST9KI2fr+XZR2DrNFIL5iUgjXg3mXVoU69
YsBJrzyrw0vFH8SPZONRCjkUfpfNHPjze9GX5M4aMPGwBmza7iU4vHspG9q9E6sQZu5tcXafY0+z
RZNt34NPkFltlX5z28T5BC92vps/CxmFEE6IM91vwORmDkrzIWez5xFKvs8zMhxglQSfQekV/aQE
hgFphhWUNjXFQa4945Tq+WVS9O6G0ggsWHmReyxhwn2ZFhY1qBHhjpNHV99HsF1O4pD2ZfRgD2fR
IBpI2JnI8kvWqOM2HbtEn4kR0Ogkn3SFsO10qcOXaW/X4ZEnTnjtK9CSWRefRSs3o4T8RTA9jcKr
OCQUroBQjSLn3qfnMAcaahckUesf03L4Ubmt9hyZuS1aeRBqzyGg6XuLnNutVSXqZL52/xhrMUUt
CL0mCy83xx2EVXknzuquH29nog8fpgbjmyodQRMXO8uwYQVmiku6zWqAMt3OFR2fYhLCerDIeW/t
Yhi2fdLEB9V28eNJA+jfLhmXEnnPa5bkULdTv35OjcKaucCY3vs2+AzZT343UoWvcz9VJAgghLcB
m46qLGdW5MH8GOLmkBSS/WH61U/XrO231MkcgP1K8pzhElvAadH/JZr3N+euraGoYvPIQ5WHKcNf
5FURlOi0KyrrGYqyPBOvXsoaUGKoC+OdCF/3Ug5yTpbjnXj1itEkqH6Nykr8a/R+rRhVjX7bqFl+
+afrxceJC3wVhbFRluqwT4seXUvtgyz9b/uA2SC5ZzPcqrNbEMsOne6gq0E1Z7/cPVMeppx7jtk9
62zaG8SukqSedLiRr6MdjLveyqaMLE0ihTJceg3AxNSEg4qUvgBDM9ZK9mrAqy+GIl43Ru0soRqZ
G7w/xdqAfvHcjMZVbASHegRmgOD5MexgpVaeXKy9OrSepVa7UnCk3niGr2+0vtjJ2O7fDQlpPoWs
lKOupSrFPlRj6WRm+5JU5ouIcv+emlTpr6lW6yq3qbbTv8I0lRY4Jq2jbmNLXigx3qkwa/a147Om
awbIvSop2CPcAPtDTUCKc1N+wBD+hAtlvmt50szg1I6vuNawRJpmCzMeE0biqM1jHAIqKBqCFLJU
t0u78PVTmkrtCmGw/+CWubzuG70+mJ1ubeB0OzvHtpKdJmX91uo6eW8XRbYZAH4dnSAL1k2fWw95
aEhL0x7Gs4osmBRg11xTEL6LMLDrp6pU2ctT9+qFB5c2a5JeeaNQFOTIvJO+WeP4xv9J+Z0FwJHy
Cdan0SUrvcnA+JK02RQd/zutnsanIRuKS5oXH32oKe+Kp8uLylOKXVRhhFTAvIn+pK9Br6JtAxFu
ye++Z2z82PafuubUc3NvR2cIYUd0I06pKpiT1Iq+6xB+/CJqAOTYYI7NJgfkEHsr0L/avi5S72h7
RrKMAWq8Rp350jlj8wkwddU0hg56JlQ3A3uaeUYNris8Hm2lNQB4LNSsPBC9fNWUfv5YJSGPS19L
PoxiXIHZr/dRFlBpKMrtPYl/63YQTZMAAGsQw1+IAcVSOgC90xw5CTkVk26nznS5BoBiHwV/fIyY
bAewJSw5i7eq5FSLvpPLB1cO4M6aqbryUC0+IXhMeeHo6afmv3ejP35PeTEDYU7li1qM6UYKYaDo
kqeeJd/m1iusgqIN5VxckwL/alQ5e84TPQK9kjR7Q8OZLSmphYTXn8pIlDKvxTDZ8TR8BJzH6mM6
aNMqRfSXzfh477r3k5V8FK3OVTFFxEF1+4z/Z5/4EPEv9G38lmjIBMzAhmAka95TQwm5hzqxz6oU
+k+iyzRqSp8ow0meumynTDBQBvJaDIaGnSAnIxkgmo46EI8z17olw2av+naJve5Bo97Qyayl+rH2
g70XR4SxlDbeFIqhLdspqoV1Opy1qlOdCk1rHtXG+2NaM6C0TJxXLbKGTU6YLnE6VLxqYZeH3kC7
Jg6iCTufv59hpAvCR9rZhb90ph4B1lzilaILJN83TXbqX32jyY2ODKBYilFWGfn+Xxbo6hedIiX6
bBuVJ6lVbk4qeX8R4BRamoBkStVn8p8kY1Y8a4FejvbaJO52AberPY+Os8a2+as1jd1b05iYWU+v
9f6/Zv79OjGzmj7z97/w+7ogksp1V4IRdVuXdIrbdKRXnINctWgmbTB8okccBsRSEFBjUAT/PVCZ
MbsAESi27UReOGW68yMDJ8OUcuMGzx4ohrERLXHQq8BY86Ao54rhdxEKRLuZt/BU136qzEd0S3gA
G+dkDYG7C7TwQoUBMk5TlziTADIuGsrs8Mb4zwDRrXKVJt7wEDoVqK1RPXvTqnVIinxhRhKFSXDo
o98M5T3rhwlKqX6UxHmfAsX+pGqD/1wqQCOH1FV2ihsBdNQ16JvAAuHXdc6SaBTurdq4WnmSP0Z5
uo4SE0BR2oWU3CA2KJo9ekWeWka9gjmdvw5TeRhJ2ZlZ3jxIcUqhPidU0d/Di6bmgJE9eOVyVCok
o5UkbVlKTDWJMMGuh3H8y1AzSnBFbb0kMm0/N7l61Ui2fk8ASLISxhKCNMjcxBqZ9H+YQfwyW9Su
oq4x8iirMa9JaqhJcmQPnC+po5W88C77gVHE/VTV96ZuqnOMs1gHnQ1nTdVzg+hNbJy7OFN2IZGS
JaYL403OpZXfG8l3RYp/zeCnl3eT6WxpmaSvqlyv5n4SsQSfJL+E1Jt5XLJXVnNELmhOA8nu9jeJ
nOs33iEY+kMve4VHiAB6qVThB61CA3JHp/70FP2BMHP0UeLtnbVIYV/tvEjnLEqjpwES0cLlf+Yc
B04NLl5qj4afUHikRsoyBK2/d3sj22R2Zh8JN8arEI7whb8YUAaNhPLgJSZVCs1oPGrFgDdCzbSt
J0vDW9TzDsh7h5i5Wx57/Acz0a+71bjQ/J5p04Orp7TVfZocFWBgpycYhXf4tNr4NS2KsHhHzk9e
7dGrzq8QiEL57oE7WMam7R/qsCgf4Aq6E1ZP/VAgj3iy+T2QZejFdURhRs9Rd1VdBvywavEaZclD
Ykbm9ySOP1OpK5+sosj/bek7Feb+M5bAo4pKXbpKoUhbpnyK/uVRVfeRYsVNNjyj1nGupf5iaw0P
XnAZO6N1cAzEUfGeBCFETKluTm1XaJdeVUBr0B+N0bIduoWPD2Ou5X20FRsR0Qwq48+mGDWzek9h
sIsz2vHBVQLKM5R9fo3LqIT0ZKjvWjJeAqHLdextbljFz8rM/9KG2H6VsHjOk05JtiR/ftZ1Je8l
uSJ50+TDN99KrxXEIHDE9PuI8Reerg3f2kMRutmJoli/dv5ZNMoryvl4c7HfF3EBElz9MVBzY2vG
ll6vjQw4ZWFo4dqKW1aWGMfJVdpp+SuYblEKC7V0Czk79VggyX13EG3XgxLn9UZDVgLq9pcBMcXM
TS4RE2sHOlcCV6/WzbNQEgrtIS73+DB1SZgGLn5uxSAm7G6B+VI+2lZdLC152gzJMnV7nKD/UQc4
V1XP+GnZxTV0bekNoIAxj8JSOY+Y1Xn+K8Tifl8euGjGxOX85m6Xm3DNfpZBex21wTs1utttrKBP
qUAkBRRBNdO3sgzqlW2ZyVoqq/TNt8z3xtW7cwDc8NHBNiu6Bye1N8ATQPxMF6UDuz+dGgMH3Zfr
1yDb6JqbvDlZbu7JEpdz0eyl4RH/zSmcgEBp6T5YoVE8eV0d7zuFckui30u9E6K64kmrB4ChozKT
43yl1zVLcFbyB8Tjfx7ufbJVww3MSg2IGVPuA6KJUrRb4lmyFmlXDYteTeKLU6TOkuWGzIsyaNdB
mBQHrxiybcSycAehjsAjN+hGC5sGRkiirGSvxUsRjslySML+GseOO8/ttHqOaiCMvaI0b7JfwZIL
B+0v1Z1ywHn2WebVCiSl689GY20bE8lfG9xZE3kBhQ0zkjBUOPhOjYBHrR3T8GeLmGIrMmZ9RV7A
baKLPGXTMpsSiTzfLmKMjM5tTJtM8b/HRE7u79c5UekvWsCCN/eAowcmolLH3wgFJt5YCgTmPuas
ySNde5a0ogRxjtSVb2Tz6AB1ZBnv/cSpuPXdLHgnFkLxWamPHmIn1nYAZvVVEqrWo12SxaZ+G0hi
c87db/0olUKejWoqXW2QvuuaxcCu98AleQXrzUKNh/es8PYBxRaPlRxpa4tI3ozAp/cTyWmS6tpP
Ka/fYRUrr1ZDeb/CbsaTZuXDZtTUfKsBTV9FUuzvIaUEq9ivlL1WKsFRrot4iegretW6+AUOQPOJ
ymXVRLpPCSu4Hbk5+GeMETxpitTfeGWrXSwqDbMtVo0Pq/vGkhm7QZxq3RHiHGJps8+7/ZSf7Ca/
ghhAEfTrTFeGHr5BNs7kwTDPbVe/l7nTv7X2MKysVCfWOAmxakWnEpvkPA1xVxzwNQVzudaDtyYL
kavx9diIpjOWR+Dj3ZUqGvWly6JHdZrlZFq8SeoBKM3UJHhH5FPyv6dG1zyQT+BXkWNGuoukRtjA
ZJoDYvm/xVYDID0J5NRJdFmpFWzK2F+TK9D2cdRjuPAsZ63nFU8GOZYWldI0T5HZmzO5bLtvtZdf
Qr4dIDSlZRRFGZTDMN8PWut91KOCsd8L9Gd5fLgtDKToOw/qF7fWtde8VsZNk6T+UjQdhzo/ksSd
dhvlf4tiG+bD/16nm39795lg9nHRo+BXHMpGfVFBKt2IRdospKfOSRW0TZpGHbyxPcldEu2qrnRX
2CWzJ0iqpM7UxPqRowv0am7i+9wBX+N2iB5YFjA9yNOnvKAwR55p5n16IkOkEh8dY3Dd3eZOH21M
bpLKrVXY95OpOx2poRDH8b4m4vtZ1sqO4gbRt7qi+FNQh+lZj0p1k7Hv2HhUfTh7uEbnppR53xIc
2R6LcnFR21kRUVB0GiO6CXV6EuRGEjxZHnUQpuy8D/DqKQKyKmwKYux3a4jGr2PTdahcrH/ByiCZ
+7r6wHGiwTCQTY3/UKAz/kcmg/CNqyMntJ40UruLqBmi/DU2QKH7Y7RGKFZROrrDmylOy4Z0ZD0d
biOpPlUgF+24IhM5DtDfEwMlqTkehc5FyGHE2RdNzJdm18GKLMba1DeYpWADNZQapJ6t/WhB7F2l
dtvsFamwDjU1vKiWpujPoEooYTf9wpP8AIzB+CEuSqSAiyyqWckae35xURV53Ja+rT1bcc5SPz6p
au7/aLpuaasVd0nhZXPqvqSfuPv+smpzfHOUuprjZTGu8hBhiwXweawp70WVq0jeUhnWPxrIBVb6
2Ek7x9dfgG8ayxiRzYEQnbNHHxqupGTsnlI8cbwru+HTRd5c63xB0OOh92hh90aOsQyc8tdFBMKD
20VsW4vfFw1CKVCC6ipjNbhdFE7/0rRtuv1Lrip1T7JrkiJBALRudeqGpQg7g5ex9v5SDFs5dFpE
8c48pBrPFGWsXNayVd97G32KQRYadHejGJxbDBK81Gzabz7nsbHoZPSbkqSYb3n7s5p07nVT96uS
eMrGNkJr6qZ6Z3b29OgtsRIXPBpe3apSX8EYug+iSxxE00niFYH38PClX69Udd4kXblMh2vUaMPe
nwCIZEAwE09n94Poi7w230TpgSeU3bJvkx9ToNSzMXapmTCldi0TPa0K+f2gTopnMTo0snEonUev
7KutmkTaa0SVRpJ05qPcW/6l9KltNZnAMr1yNhQGNBfSqGpLqYEHlOVluumIvy/EXavYQ7qBhtzc
mmI0MfOtqwxrI69/GtPWrEeovyKMQ0XEqSmFyrFA/3l1sx8a1f8OFXT4o1jg+soqsOTieFvzqrZZ
U6kcyOqC4DTLmQi6WyeH0NMqH3U1SzV2md4CXAHlCkM/eaRo15/9I7u+PjUSypD7z0aTOO86tY0H
FP5Jjcc2avylLn6iIMm3LP3tRQdxFciuwR8g8alIQ+HPYx352bNUe0uxzxzSJt8mxIepHKY2j0Pv
5+vcphi1SBS6UaJRS4USExG/steUmleyMrygPnu6iWDQemlT4Qd5xdrY2iVuIx2pXMD2MqyLN6OO
zt4U62zDfAdB33jvIoDAU4WlU+EG7tahmOk68Bz9Gqcwjm20Kj9qdUUV2Z8pXof3NLsSDKakwu8T
Sfra8+dQinohnP05Jy1q613G3CdSDmhfphyRRbh1+jqlFSkjNaDihBhtsUkW2fBhU5RrYK/u8uec
YyWoH2JqJh0aIwtgr1XWe5OUyyqule9J1sAaV6LxErNIQgho2qs46JznpG6fxIwyCdiwBvFzncfF
urHTYKvA1L82U/BNzLAAT1CHbTjmPNMWFNiqTuB3KzZYmGlkn2JJtuIP7OvNkE6LuutxAyQ86YMH
TY2Ls3j5ZLS4ID+Lr/E0dm/VmvdH6/d1rssX8X+//R3Z+vv7f5LbkPlRSNT9nYWkGVIleXI/PI3O
rpSUrtkGCZokx9HbRZuF5l4YI8SZ17hsgHQ8TouwohpbRwWGVZOC/cGcgg+f2MS+0HtKJvryU2RF
Doz1GN+sXoNgd1OiwpO0WIiMw4lxU2fwiQoMawFQo73Jk/XF0p2X1I7Uk2jJXj/T0vCJoiLVWTFT
d8dzu1x4qWW847j+YSGUu+ROJT1EY9vPEhxmD4ND/cck6i9+3VaY/5of1E123ksia2gX2uE11Jpg
HpTxORo8iu2FuNAD284eSmp0bUKlq7Ylu9OEPeRyaIr2sVflkYLkzTdlVNtHKPnqPKTi18p0yCrk
vOt+OGY10/jdbSIllDbQ3z+GEg5coic5vw9PW3SKU/6lcLenam696oPurrEDp2uzyJuLT4lyQOfq
e0xFK5FXkmu4REOX+WcrLC6d5Ifbvg9MmOZ4UcSB1ycKRYqtsc7EJzT5qtqfncr7lgxNUDhvfuYC
2tTkcm9bQ01Q3eRV2gTDUjMoV15Grn4qeTrNqVBsr+wORcEM1zbUpiayrrYrnzRkcH8pCGYo8JVR
kcbKczY8QOdl+9U30vbDtoNsVnRltQxHivWYpaxA6je6V8c0g1mp++13Dzt86RUU2mi0pzbVnZ9G
K13YFG9qsvOLwcKxMETqvK6VetYlvr2O9NrZZ33Vb0xb2rljli6VARc7RTdmMurq1zGlyneLLm5F
fSx24Gl9UnP0exWiw48m6s6At61PUk7EbCxn7rm+vQIXVO9iZDHC7ceE/9gC02FssS3Eh97zw4s4
FIWs7KUICd/UFUlSOQ8S21jmRqYcO2vAf9Dlb72dnwszzZ9Q5T4ppROfgCjJz5mkvGSeYj2oYV4d
B6M8YwRA0p+EIVu4z1Bu0oMceFcHX/fWs5JAx4id6QcqF1L4fvTN5L0ziRrnjVyuRJPCSyc7Z3to
qm330Jh1P/OkNH3Xp5LOpdz4e9WhKHTd2OifoYgJB43vcFbAbIpy31snQ/erXwxGBDEJ10xTRBva
2DfJytJF6w7PZEbSUxGHz6xOqoehD7mTxk7ZdV3Vvsg2T2qk4cmaIMkP3rvdJbFb7dj31saIdT+Y
A9QioKcjQZ8G5cHtLm1vWRTiiz7IMTKjg5CwdQK4ZLd2ABGXGgFUr3H7lBrCRJZfWMY0S6T3vNam
pqlRWkh2lGabwmdeBU4+zLu6ksC/mFq6v51aesM2iRWXPe+m3sjjBWWr0tzvHvLOdygzN5yLITRO
dlKv2X0udUf7kXUKK7yw/uh0o6WoMXVB1MwuV2XwPpYIfUN2OkMTVj87/bGzre65inznULjUsrKK
GFtFRKmUJuSRDsLP3ciU2Zrl3M7nRGryczqdWbpyTnjo70WXGGyzKll3nebNRRNxU/JATZCPiJRw
VlnGUxnJ7barzHIumlbgjUTeor9CiQI6sIW7a0Kxt3hq5RmOzcBrKZ8r99JhnA6oyX6dxZHWrlvf
/OvedZ92n+vgKCa1wb/++0rLrPaoeH8Wbm7v+qIKt3bjOlhC+2QT6Ip37IKgWvsUmHgglTistFwr
TqNdWksnAe3RddQ64828yZIs2cMjrnc+t/+mCTJq3kJKXamDPJ566gcuXcQf14ZKu/NY7+SnPL6U
pYHqwB6TC1zrcNPqZbkNPac+DUETEPeKy3fVTY+UorE+oxhtgZJW38Ky0eYo9ZKzRtp1g5BK3lB8
PJpTbxm7HVHUrWLyaZ0hTa+MrpjblkatGDYWqlyan3aePCqsIeDjy/K506QlcJH8p46pzOdZ+O61
/ISdH2VnIw2aTTnUDza30jqilvK6N9DKyBZFu6lnrL7KRvWhmkn4MzWPqDQBLHAzU7SNhY3lU8m1
aJXqCu6lWRVxnR3svtw7ITlB15OqMw4j6qVVZAKKrJ9T5iH+lH22Wc7/0XZmzY0bS5T+RYjAvrxy
lShRW+/9gmh3+2Lfd/z6+ZCUBZnX9vjGxLwgUJlZBYoiQVRmnnNynkls18wPwAuLu3k2rLNOH8ku
9AbtqzlMZ3IgLoVKT+OWfWgQHf0RhRYSna5anUhTOi95M/wOtoIbJVV7dsSN/Zw1XXxnRAFMfsjv
PGTesn2xrN9irQyAZbTTjRa23dEOeESCsugZVYzgp0eb3CIXOb1MmTnQYV6rhzrvuy+kJyiQEBEt
D85uVWTPOuqw9AE0N6oTpLfO7Nm32hwX9/wvk+OktvajZ1beLhoWuqox9m4mPZru85J2/DHy/I+W
aTZPaJueEpCpgzFsjIpybzC26TmCgO9IBbndS3NXwHu5Q1CrupXWrw5iczpF3BZSK1q/ms7ddHCa
flTVPn9RfXREy9a6s+o+3RpmP9x2nRbsZ1fLvwHE+J2qy/hUeUA7CiP8FS33XCvxNmWvlFuEHoLH
yUN0uo/66Tj2Sf4S6INHvrJrftoeyipRp/2uULKo1Mj5VKFbste05Js71eWuyA3vKVsOAOyHjR7z
QfVtRVc2JIK03Vw75T70a+9JAj3PNo9ubCIe82aD2Q18i8WNZVlFwlJrtJ/cy9qXxVJbOwZ0NaCU
/WVSgnDvFmV+VgISgOADeX7ujfTei73vTmJ458hgfx02H2bDiLb6rENY64Fyr/2T47nauQSgsp3h
16b1BFJ8L23027xPp8dyOUQ3+YSyB5vj6KZkp7Az7U7/At3pD6Mex/9Qn5vpVOZBhd12raToCiEG
vh/IfXO7TIP5pKTcqE3Feh65j9yokxLv0srWPiF369z4CaKJfOT5vmrpV3pmEKBzkf0wVES/Zp/u
kcywnENsGygRW0lxcNXJuS+qrkOCsu0+WIWTIVyPbT1ojftHSOPq5NUc2r94GoGRsGm+uM2Aqohj
Rp97SN1RGLOMp8RDSYV+pIZ+7mNszEAEACTQ3wMR5KBXw2aO2jM6ZmwByVB9yKgzbQBlj7di0zLD
3vQzykEguJ5iI3J+pxaFCsK29QP3JTB4So7QZlUVZTrReTqfTAWkCXKH3N2nJTVRKQMPgslXVHbS
b4Ma0rBOO9DSuOySAA9PdKX3EKAZNsrJbr236aG3woiCZJBF92o55rfRnPN9KFVlVzmonhqh579M
zvAS2MEZbDSCOnOskGBJuqOPKM0z+TQgyUqF5ozWAhu3eWoCUlt/sospPo/kNUiFtPWnBOGzBy8x
P/L5sT/OE2ge4OB/IMQRFc4vKFrBg1Xs4nZVTwFYAOJii6vGf2jLnzKww1DdF86Q7Bynnp8SqLE2
htaOIBOM+elig+3jqKcuvRdLiDjYLcCRosABg6Uc4mSrWjkPwAuB2ug51X3Xpa9nqVEme2gjkQyK
UAKiDkvM5ZQ7EZ8rNGYPUObDi2hBOamoQLszzfPPcuBj4N12IK0MuEXOVm3zA5DFz22FUKRacFvk
CdZ51uYRchTemVurtpxnsbVucdKTZr4pYleHYApkV4c6suaPsMGpOZwq1fRA1cl4UqcJSU0/DJ5D
XvVxQhXuZtHFrPRgBo02LSmERzpYdz1ad/xM07nplTpYnNj81gPqO4f9r8koKLR2U3nwXBK3ZZQ4
p8ZveBZbzrQE+pyLUcZyaJ0HqrzToe+Q6yVtSomiBK03KOk3PwmT74gJLIwoSvuZ+722bWM/+EAv
SrQ349p/tFU+FFHyg80VBfiupnm/s/hpWYZyGDydrlrLIzsArg2XPjr2KR92ypDqT0bzEpkNwEbV
hnrF5w2GEgHmZNWr01vf1gfwGxqqWeVMPsBMrHQXzYrxLIcK9aYdT1vdAd3xVxuio0gLjnp1O6a1
eYkbNO2Bgp59nxSWdyjjpU/c0cxFM3lGw3oqPmqh3bwMzbBRIcH9aDr93ktU5Xl5UPe7Rvti0LF6
T4LAvwytMsu28YTAWKaXMbJgPQoYaA8ixqmmKbXY4qfrxwXKAcNw4rsWsWM2x2cLJo3t5KXz0fJ8
9y6plc9hXCQvAwhJFHCbj8E01QjnuICeWu2hDJT6o2cM1raHo5o7LENUWPyj1pOa8Vv/wSpoqgK6
5T/ksf1Lm+f4S5DF9W2khlSEvCD5YoOW2ZtDE92IF0QE3J2hWdK9gheZCVhuE+WD6prqC78ftLFg
Hp0e3GJY2Bubjeado8w0DPaWcWMZTbqDRcQGMZU0EDbRPQYO3P6UkUpAv8JVd+T18U6qdiwLft4V
tOJIsYTwd9Imupe5utcHx1Iru/1lbkfTGb/25PmWYJ7wmkMx0xkv3qQn92dOMyJWy8q0afGDNY3q
QYJzdFz35mhCZ7h41SDJ93VHYuwydxz9nUNB+yjBRt/quzp0/Ys3tZsOfousurnMjQYKbz0lIfkT
kjlUtlRYkyNiPDeW4/WPPdT3B0TOynsXeTyliD4qzbbX1OGjojn9x6weP4Oi8s6FmY83VQ94UzHG
4bFroaCLeg/skLJIBS+2VvtRzfCpXUw9ZAUPJsVmXy3huY3ZMdNoHp6QHR8eJT6vkZhm/4ysVI76
lZMPPOJFzo6W6vQuCAB+g3r7mZOc+lGWoY7cs2E9Zr4V30Sje2rbOXvqrORTpybBF/DI+gkJCxiv
vTH4UifooJFrR0N08dI80GypEXon8RZm/SFriv4piFzjc/ejqbLgRg8LdVcOCKPGmV3vGnCrxwYd
9gxNC2iQPLSzrX1sOX+cpsupiTC9vn0X8O7UzLQScWzSB4H14gPC/Gzz533wTNp4Ry/4bPBpQ8uy
OMlIsQbzMQ6mFxnFcw4Faj78lFHNHw18O0LWcazCz3MNd5A7UqOTVeN2Ng4+nSm72FaMx8lXXw+m
cusoQ/C4mnngL0+pH3ySoNWemp22DycqxVeOIohVBABBC6zBEkI+gr0OPGbD2+X8ng2jVWvaJ/Dw
h2hop2/ubPu7uaWpedJy9azqpLvond65cL2Af6/DbbSIncgBXaXXs9RAZdak7gopEfon4tXeztIi
8/ZjD6DkyiHB4h06Be3CZWWZBtgH+RV7aMhKkHu9rNo07iZtZhr3OkDFJFgmhCuhC3s9xDwqnNLl
IGerY41bHVdx/yJkXX6mIT7ZyPrrPBmuMeuV/kXI1VLr3L99lX97tfUVrCFXyzfB0ph35b660rrM
+mKulllD/rf342+X+ecryTR5lRrCd4cujF7WP0Hs6/BvL/G3Iavj6o3435da/4yrpdY37H+62tUr
+J/m/vP78rdL/fMrhd6h5unQKLYQhPBoFy1fQzn8w/idi1IUs/LUfZ11GXdmUlxWuYwvE95N+8sr
iFGWej/r71/RetU1RqXuPO9Xz/uV/l+vz2aGrfdgxouM+9X7dLnOet3Ltd5f/XrGOpazf/i7L1f8
r7VaMBBWNfSH9arrmle2dXj9Qv92ijjevWXrEuJJl3/5lU0c/8L2L0L+96Xoqe92Ewo/GzOemgcE
MJ19TUf8VoZhv1AGmHlD5w5eerSsrVq5/k5xm0JHhhtRv6ZGTVXcEjhOAT1xNK/cA1KvT3qBZtNO
3EG/N83UO9PzC4JOTP3spXeVx1NgqZf6UZ8MB0HYnq8VWW/KDLReLnJtFzE30XUTSTcwe1B6yqk1
zomyXYXedOd14mpapeB834hhOW7SH37UKLcmlM/bPMuSIzUp8lFqVrzQlXljVnn7ANlS/qKQfbm3
vPZJfBJV8c09eHY97oCF5y8SpidIiYUkW04Sovsqj0g5j6asKgFpWdDDZcbaZl3oX15dd/snx9J9
kqh/cWVvgnlJ938LcoMMXO4O55lOLPrA4P44yxixSXTnU+/VvTrMtxDbVAgpRkKK4XWazJWDxHlv
q1hVEh4KE/CuVoJoMeqYKoCcyoEsISSl6/hdUOK6Z7ovp+O7OXSe/hH+zgq5YupuR0MdoOmDwx+V
Nxu14Mh5kLMU7Yq+z7vzlZ0HomjH8ymfoasJYxve90kAW8Mfa0iEHEq2t7BA2f1xtclZmDr9DTDI
36/sskjZuHd1OdsncYrJQUw5UycUtum3p2eSOiFCThZvkbNFj9y72MUpdjlbD7TX2XcynIX0Tk5d
iil+Hb/OlWmNGfm7yKhbNM+y8UALQL+N4ln3NvDrNU+bSiNJgqiRwqeWFmrSdvZ4iL2ifRoCtX2q
tdI5Ob37UUyrHfqtj1bWuuw1CJVDRjvywTaDfjstM8V2uYastBrlOoh4T5friEMt569ZUTdHgenK
GTxQz6943SvoLiR8Xrm5+C7ngtkV9C60sHQ7tDsPXs6QGu5JbQ0jhde8ypqTUik2576i1n86bzWj
VlE/J9xv6368azXd3gRNn+2a2HjFTidK56HKvKCj14NRNpB1ks0X07uQa+S1+IPYBY79LtRQ/EGm
CxAb+oJNBM8/wmnkrE0DoHSTuvZduDRFoBCpfs8K2IEWJY01IrQ1DdLgIdvqt1dNP0lG8/lBjM6i
Fgr+1SIBsiveeoPgNLrL7YDK0ZIB5JvyElFFhbgSWjw5QMieoSvX9hfSvFL4pJe4lmrYJY5Wi2EP
60kDdVzZPC8MBYeoreNdCNV7uKVTMKcdJEOj2vfq53KY6mexaYutA9SN5BA52oOMxX21zqjGj03n
B7e93Qz3vWr1995AhXgj4xgW+jtXfyi6Ysx3FwfJJ/oBRqf7LUTchsK93sO/HJS7dYUuj1/XurKF
y3q+/nBlttVIOSr6+Ny9qYS++115VRGt/XlLDkF79wtz+dmhBHh3iZHxu5mXH5nBj9RtQNPTFoQf
/LgKFdMsjb4M4MKO+SI2J4f07WwSUbl1LO5+SC4zruwyZAfdH+n8/9oMnTtvSHyCmvIAMWdmpJzX
Q+43r0MzaDcdbSL34hT7ZW4PGmcbzPW8X6eRVfd3fVlp2wvbrQngEBjUABmgaUQRTcBatVec5psx
dVlwanNnuM/jnI1p1FS38ZxWt4mRuurLYJE7UEc330pMvQQmAlWYPDqjO6pu5CEfxOSGerHlYXSA
HqTR1Gzr6TZ8xaMz3/Azpz0CZtUf5SxDB1Sfo+682nWk2+4z3YK7iFDExc2FM6y0jg4vG4gfxvVA
Wo+/hK7vXaR4S2VgcUemB1Xl29XE1iyXHAuFkgxXW19AWOfNfd+Yl6u9s+dpRXcMunjDrN/OaVQd
yVOrH7wug6hS8e1fOnIeYZcNv7ltPmxrQP1P/ltsZDjzVezgfK25TFrBpxxolAC6BnK01GtIJ+XB
jQFf03BxV4ida9Rr715tBcCqYqxQ2FlmXCbLOkO4JPWq0N00i6eGx0zbyYr2GN5IyPWUZW2gtRGs
78wQb2FVu1R3nNF+pGc937sNRMP86+xfdghOREuqH6Edw+thNeljVSdo/yJmeLDAuXyUWKFr+XOs
2s8WZRpaHxS9VjaOxk+SYAYaVA8AwyQMlzZi1YBXTbyCNhCv49LoIF6ZW3TUIVXPML1667PO1qRO
vqkXPSny9WTgK/qn1qF4q0WJSrxZgapMbdLQ1Giw/HrdxvTT5hGiEhA8y9nqWG3h4qWDQzvaMWgF
iZPDABvzxQF249dMhW8eBoqo6wS5xNVKcokJthMYoVlYgtdrp8uLovuqOVe0NRmOWe7tiXa8yB7j
b+CgkINRvwW8ARQLI6iGh077VlkaTVbl9GEqBvB5SpJSCQ+0b06uOhQ/Vf8cpLOKACIf2GW6rJq3
eX07ku/9d6v6ow43hqKg78PD4601uNZR83uQ2fRnbeAP6+8jPQq+hOV8G1Rk+1s3nj8WVbEdF2I0
8HPFg94hGxUsUYAWeXa20ZgRr5foFX8KS4pXlgSVN9yLNzLVd0vmU06hmDXctvhFSSGlwuAVdNA7
3YsK4fht54b2AbEr+7MyRw/yO7xGpDR+3paRYx3CxoJ02YSdatjUs1Ud5Tl5jiPjznTy7dWzMqBK
nsBnVTXurPjV+2oTT9TU7zzTyM/P5vKoTsHnxiiaD8ki32ikKSw6ZnNq1UEZHt6GFEWDsxzm3LkF
HF2ebQU9OxYqbhrNjV7k4NHgUSb04skIbgv9XJntndGbCMBkUzYes27ouckyYeb7/+Jkabtd9LeO
BVR0iMS06qlsO+csIZPuDw+2Ox/XCbo9JzfcQUHVywRfLaxtC336JeZy3Tl5LIsivCxiQO/4GE4U
PuVVOLThI9vuWxuJlQNd0+mO3qbhYC7Lz4pbbkdUET4o6U6N0UUpumb4MAW1vo0GhG/FNtJxe09X
1C9v4XsVU1WYUAVl6tlZTAPd6YektnmKXIYlm74Xw/oqPgk3Y3CkXgZkp1V98zRl/je4Q4Y7LwiG
u8kf6UKXUzlwe1cUdC3eAq6jqjePxMjQL9qg2sgYqrNor1tzf1lzjcmKePK362xZ16qn19dxWULG
ZeZ8VIc6OF6F2I3KL2rgfQqtGiWVzjNPbq9E9A7OKqdyWMfil0hxO1BlvUbK2F4jLy4JpSAxbbUA
nhEJkjXkbL0k2gSKsf3Lq0kke9QQ1kE6E1W9GR8dCAZ38aglexn2XoitN8bH3p2dzQAHxeHK4Q/p
r5B6y+21vRhPYZlpd3VepzZyKiwyuh/0qRweAj1oaU7KnIPHzvIZUvt649fzcCtDOSSd+6KafXwv
oyqOtefOGnc5AkKPxTLyzCB4Bpi5Tqlg4Th3nXXjT80cbb2uhWXAy35owL+jLRwvM18RHbI/mb5c
eDTD4dBEGX1KVb2lvWd4rh01/AAQgL5K/4McjNhu6SCy/FO62NyGRtV5VhB3WYZU67vHPNBPlem9
TtB7WhgshATFBBQt2ztzD23sEk/vbX7fF85/1niggbR32ajbLQFVX03boA+nGxnObdnRjGZHWxkq
bmq85OXnLElfrwYrUkX60nZujbRN6LopDJI27qJbBpdozF8WBzso1lEsW2xRYdFEvI7NWwOgHFz9
BPhLgETJUA5GZMf00RTB7sqxDtFuMQ+hZdMj+NnQXHRyJiNAKsWl2DTCY2/R+Lhrh2Y+UIWHut6N
wmc1cjfxVGb/5ZW5JpI8EpsabvBB5gPuv54vESHktJeI9Qpv1xfnugZNwXD50oTuQfV/sEI4vJIa
Cb2NDXjn7CrtHmRGAJGANfys2zg4xUuP9UaiOztytlNojE9yaGFNPZd+A619Oz3lNiCPLPazo7wm
KKaRZLDq+8vIpYzWKNa4SeTtePPKq8v+wpuSEns3t1vmDstbl6uJdUOtOgDhlAK9Scr6RLsg3FI0
wL6M4TaNloL/YinU2DvZY/4fcV2Car/bp5Ub7dc5wVCkm6kPXtcRB2TG/x/XWa89/t9fT9fP6taw
YCirUsu4Lxr92Me6ddv6Bs9bad8b91PFMjx6pcZ9ahvxaQQCjCykcS+mQbyXGAmvAOXstdYDS7JM
kUhZW4bKiHrErgogfGqTatqLUdyXK0r4CAhpD/iq3kRulLzepcuJPp9NaRrTDZoYe9TvInNLUsM8
RVVm0brNPb8N+MlDYoKxJ/d38ZPLmdx9WbXtzetzjT9Gt2T5lAe+IMGj26XuYSxaA67jP2zq4kD/
DmROrV/sOcw7iCUvIciSf+11q7yV+WKSCRofnx2fFGhRlvniGPrMvbf1STnE2QieYyjv6ZWo7mfN
Ku//aigOCZlgtbbrGWjt/z1WVkqj4Idjw4hW2x9KxVC2cmbStHI5yxdbmSqI/715/zkOPViFrmCS
mW66v+LGkqFOG6+SRzTMLs9xYpJDHfbBOxnulNaC1DegbcuCs+YEgM+oL5tmRo/zaBo0MMcfjMXs
Z11ymthLb2VoVUDv4UhSaGCeiy+6RhKeLBCEo0swT/SXNWaeaZ5iJ/wQAFb6wiHha2vyHIPChZ2h
93YsSuel8W2Uy9Yh4JDbPoDQ5Kg03sUbQFb2HNumdQ9F+Pg0Q5NiTUZ3Bwna9OSbHJpIgQW7ivSd
05fcvMbYTu5n93WCzJKDa6SXqTKS+aOVxHuHVppd6VYpuc5uOhZaZDyXAK32XUmezLQsJPUWm6+Y
7bYs7OYSIo6JBTYws+WnUp9+7wJLO5EaNp4hNT2pcaieta51o23xZQIr9twurqlrlbNmjzet4XgR
QtrZdEoU/T+XSBOwFt3pZrGVa64vJg3g+o5piynpYb8Te9p67bZC4uN4WWp9MeKWFxg76eWFrMsV
XzQvcW7zWA8gTGBjZyz7STdS+hta/cFtKWzpN6tRm2b6bmW/KOH0fBMJaf0lZl1iday2dRnUfuLN
zPcUrfvxMym0LwAqlY9tMVnHojPLmzar048w+f2m0/j4888BY4TgRR2QlhEqoEkFJ2NA5CVkgGpo
Gzu7yt4PzWUoweKV4HUo3qu5hU17ekuP9XboLOOcJfQDjb77lf5WzT8FGnTpgHhg+apLZSJNE5tn
crvGWaKbsd0ltTHcFe1/0sIyTyEUT3cgSflXVQo6lSBDixoSMazomI93pITEOy0hciaHugEkdfFc
j+2oNU52/xNJMxtc9BIny8mYJFIHFLo6xVMAXXuQ9BkwaA7GrIXKzViRsJ/5Hdn2VpW7/0lTM7uj
G7gk9Rll2V1DR9Q2cXxtK5MaN/X2UddFPFvljmKe0WoGtT5MIAAXhfRlCGvU9OiFfocIuffqtdS+
fp6RBjgDwPvCrrP42mXxvNGKyP/SdbQjaX0xffGryNp4bZN/8R1kB4si8FBRaJSNYoHZ7QwQTZQN
vJOGOu0Fp23GsX8ZakL1AFvNu+HqFVzdv52bpkG0dQa25O2C/jQ62mOMOtJ4VvCcs72wnVA+o4t9
omZ4NwTVXmwjLZfz7uJepmR9oe3rZQUTQNfe0/R679ZKeQN9irtPgO1+05P4cwPE4FntK/1xyKp0
I/Y8681dptJG7i1NvcCfeTTTvvpz1Z54AxqUSrLkG+i2ZtMEnv9AL+D8Uirts9gDPasOqW9aJMa4
SNS0h86knaiFZ/NL9N0I4/HXMAfIFXBbe+7Ldr5B/aS6Uc0seGE7SA+9ndu/ou96C/+JREJvNj3b
MbQwr0/W8E2CfELTcQeFRQoG6k1+XoxADdL9NDnpmW485zGvFGWrBBa/Zm9nQU6qVGzR29nqvZzF
Y3HucsixosB+Dnl6veWzaDzIARC7+WDFPqqNKAdurhwynGL/uSwz91Zi1wh43smEWfSc9mnwArlf
/kGr03jvq7T9Fw3AsVgpy63VO+nPdoy3szmN3wPUxfZznbyPaJYSyT9GCE9UGkfbLApREw0UAB85
VJtH2G0yvkWKGj76y4ajCT1nZ6lwgl1ElEPZnDjLNkT8fgC+QYmsOw/O0G7nLQ7xeqnLlyatz5NS
1oBClj3Nu2nL2tSAx7umPreL1K7ek/A1Kq98mWhMvB1cRT+Mc6l8JoN1iTAA/WyyCeIhOwYSlVMf
1hYydVTAf1B61u5g1m1f4FGcHuA+vzFyXvZWLabiYE36sJNYORhq+gMKO+1ORlUXzWAq+xv43Jsn
Npfbfq4pS/qIuYlQbtuQhysMsiNz006fHD3fCQQaelS2w8ip7ATl7OqOtnFtWz0DUNymodYrHyJ/
mvaw7hc2SBloceUQ2qp6UqzlQK95xl2EU3prTR1IQfdbxr2RSsHikfAF0/53p3mACGQNHBbcazWN
z9Fyv4bsy6KGk1ps6wEu5L/PfpsfVknPmb5b1P0qtAIn50bs16qfEpLHxniXTqG5mWHh2EmgONal
5CxImmP8ttRVWOI+Kp6WNdERyhU93rWZtWtbO3+yypSNppnEx1pv012jR+w01RTgfKeiM2rWvw1l
5h30Xp2RIkCfWrSrxdZ6/bwdlbF5Fsff2tRlLgg/oKlrjExJ62bYdtOo7aTwuBJEX8qW7+qYIepF
B38YPknV8uK+cEf/9/mlvGkaSNJdOKe7orMPfdF9cqMd5JcbSx/T8zD1fbhPFKCeTv5fw2RBGecD
Gbq0b48yegttFyxyvRze7LKijMQuEW/xYjcXgaS3eLmkhHrf7QoCpnJhrZZDUfr2vunrebPa5Gzh
zzzrhQeNrcRYLryE4PVf57XuAChIIoekQkprSJx9USXvY9YVW4jXjlSjfqGXYJ+qynq4vB8yhPUK
WDRvwPoXUWW7hInJzR2qAG9TL0PxXNnI+P7wg7raaPqg7puWO5uwC5SN8YuG+v4xoLWYHlZtIxwE
TVBl96YJT6hEySQn6GFfWKjM/3tS2yTn11KJFmkofZs5cLcymdCQQp55k5T2eJZxgDzOoZ8oJYpN
WWLeB4K63nO3ci6zxU1OWKOySP6N3msD4qH4d5PK262ST8aTHOa2d3bO0AT71VYDr6OEqAabLFdN
tsVItQ+LcJgcyFbDt1qT885HHwbHRSostBMDMervEvDO3PXaATrbbCu2dQ1ycvQ9NY5zWUMcdq55
Zz3gUXO5VPd2PbqA0sM8m8O1g2eOn5Re+9t18crja1CaHR8+T7+BQQlKmEW0FVLD+tnQC3DWjvnY
5KjQIw5ZPy8BYpIAOcTOe5OELhNpVrYuE/+81rr8n9eaivarF8XaydXDjWNbzYscYq1A8V7zu1dd
m7aAFEmfPfO2U9P2pe8z76nPwiVHhZbMEKCv6qtEX8YkrqjF59prtAMc56lgK3MdvV5PZqjL+mKb
zNF7GllfRl2pfYmy8MuYRM7zOPC4VyVGeCtDge54s3MHCq05C4Yni73gOdbuZCBBIcz0YBnNj9GC
+xE70f4x6emaqi3AYNsO6byd1vDNkRkSAwL59VLrUsulHJK4yG7zYrS2CJ/9GpzfsoYK8up+4DKZ
t1S2VD8/BGpIkwV9+k9h1j/UczrdiUkOJaxOR0SxdcgcCSPzCJd8TJxq0TyQKE51qkYzdlASRnb7
RrYSifzEyakc4HD0d62maRvZpohNtiVyttrWGVc2WcCk6rdR3aLbhwBAaRmCL+wdaRhgUee2VlOU
GBY6MeCur4RhxVTvLUuHIrNHXPCggJ881EuBdE7K7ADMIDlUSzV19U6B/nPU6KChpBdtwSk5+6s2
eRmKt6TkePGubfLSTk+VNrzMvXJcllq8ycwnGW1DslugiNA0+jyXMHX5Goz+bq9Zn/1O/44gU/4o
zq7VN5Dk6R+rrPZeJj08ijnMEOIzBnC4ox7Zn8dCbW5ztUx24rWCRtkHXkwdbbmAj/bx5QKXJUfn
6gIUE99dIHIb9wCVKV2vwFzaeytMtgxJu8gws2jomzR9myb9CQJP977zp2jXWFH0WwWQY9bhP0UI
zjwMemFDalEkn0alfpYAGigdyC4C43GdiTxg+FulsQn2fPNrOmfWAXEXPlYWrPXpmMEPs/Ss9Euz
y3oQW47wCvS2+XG1e1E9HCoaJclzIQ52NVWGijRTLnPB6aIX9bbw9BJHfJisLqjLTbfoU8jBLjoS
VXJax7RgtcthdYttmoNwNw8kgsRxvcRlnbKmUEwWemfoNTyKb4eh65tTX9K69GYK6Ea6N0aI9nZ/
nAI57OfmXUzRRuMxab3f+mAsHuBK1s+1cpAB1NDIPNs8jl/sVXYUu1jkrF3mDEmjn3m2Wc0BgpJw
2lFk/dOi79Zb7X9aNEAQq8+byHW2OsipZU8hGxDLd+3jOCbfL1sUKZwsh6v9B0Dhr4h+0U+7OOkv
0w9RPJIt/nOss6xWhdH3yw5IvJf9TF8NOxqa3LvYyCpSOnn9oUkB8KnKDBglqxx4hCvn42SDTIew
5j9I2LmfNO6f5PA0/36O6/pON2iERL/I+MB7PmxCpVV/Ke2j6Hwtc6xKf53ja4p/3wQR0txJMe21
YdpOWcGumIz295b786aHxOWxbnroPNSA3VeYzd8bB+4H+CKnbdrA5egMU7GjohI/0no83trupBx1
pymeXc2r2PmAwzI86JYX8rApGp7GvtG/Xk3S2lqBbdUsntsa3gN30p1bc/CmDNUJHiDBB9XOIbFy
43NSjw/p5KY/EyMBScnT2wv8mjUYUyJCRTU+10P/IPmzv4p4W+NvIwCxudscFPDO7ZJP8FJkT9Lo
0O1VqluframpAYCFH6WhoghV+zTCsXVpc8hKg1ZP1DAOxgh7VQff7rE08n5bFCZq20snRJxHl0Vl
fruTRSe6JWVR6aEA2OlcFu20qdvHiJbQWsxjiuoMT4Fa5fdoG7ADQZzsMhSReuGN1TCRO4FhZXnc
EftiqmM1v5cl3tYRE4KeWydWNN5m6Pttmh4BXkHyEdzPtp48NouQXheG+c8upGOq9bzv06z6u5SN
1iXCatV+E9Kk49Fpd7CbGADVWz4VOoDmsShTDQcycpPkT1ejBQ82MpcKWxeZTdGm2uhwPiw/yIG9
K8aZ9NqUZY9ZCZeo6Jp3VTzSUPXfjtpW2EssjoCM2mVG0nt8ihdHEJfmvW7AQ3weSVVlRaM2H17z
O4PhZIeRArXo3e38flJ/tMkXlEKzn2T61G3kTfODRn/TPQB2KMJeA/I+2tepQj+fErvHqe0Olto6
d/bkW86OdElyyCFSpMsIjXlxR4ru3EX8PdAPoVeZAr27TXVA7PKX0Wa9N+j+/9KNMH2sdrhx9maa
hF/+It5e7HrkFXQ2NnCRFdB7pEnNt3TJScpYdYN6Q9nYQtCO3IVXauPGtLMWydjK+NJQealbkpAk
Bx7Cuis3wrIJzwqUVgp8hzI0bfOfJ1WaSXNePp1JUhXQ3y4HBZ5K2gvRz2jnP2yLI0amDEWYgbYn
1d5PsBuXmlvdx800PYfLIR+tfVMWsLsvIznQ8G9GDQ+di8XLOvWxo1YsIygd4eOgsw9J5OBuNcVj
nd0NvfpNTHKwO6+4dVW9vcxsojq8zWvrdyR6uju4P5Ex6sakRxy06LYQoVvUmIaSfPtiFI9Eytkl
XMZmkP2ep6pKv0wy3rNl0vbV3A8b6bXUBtA3PJfjkbHEyJkcYEmDtyC5X83Q99LAWXbd64S6QWK7
mtXHRHeQMlJaz+GerOi8c13t76cqcHdxYkwfmz4kj2p5z7pKL1c4lrCH2ppyJ855UFUAlQiti9eF
/ukG0Wp/K16Xn5qzPTk/QBZPHy24oD8gB1DUdd1ti1p5rAa4xSSysEBnV1Ou3so6es1Xp7GGaS9e
vemGkwbeFTZMXhF9HPFTrJcnWVYi6ISEsO//sHZlS3LqyvaLiACJ8bXmuefB/ULY3jZiHgQI+Pq7
lLS72t4+98SNuC8ESqVEdTUFUubKtYz6nlpxASJKbDnrE82GmFUHEvt6BI2WC71RG3p4jtVjGzYJ
9hSimBUJjxg0UVAi3SncyHsOGt0zqrLxaG6i6rEGOcbCVFBmK/GlhQj4RJALkiszSoZdFxUAXOiY
KrbT1jKORQ1WPDRzVgoOhXs7PeOlBL6WykaxjWF7q6RNrGUW5r85Cg8iAGGdb8yihgqwTsEZOgUX
6tRchhhQ0A/thUzU6UoQ2JiBrTbkQR1uByInGk+26ySW0wGjm3cXspvSUJCkgWYW6vWtU9PVxa4S
4V04GTaov4jSKsoZiKwscKROYfI9x7sc5Cq6R8gAp9CCSTcutIMXZAR3M9zpdHYFdWWx7jqkpSBP
vQqCF1G24801BDAaNsoCwtjYUeCAOmJpDxDCls0KD1h+Sx0Zk8h5l9YLCDKyg1eWBR58AdvaeRdc
qha6BrkTQ1AhnKal2XjJS6v8cuFNefi19uuLUgjIL4bprcKGD99q2aKCpK9/pHb+7Ki0eOsM/GtR
vzw+YT+Qr0SRybuuLxEQsB3r7Ith2o2R1x1qM1BQ5WX/unI52J+v7OgrG6K6VGOJOEuZvSFp//nK
fZc+J1VuLpPC7m+muNiAxAxs3JNtbO1yNL5yhfs86FIGMuzGX4PiPzih5r8/II9ubblKzNsUhGZL
T9bVqyO7Fw3axvifoDZCpnNKvxqWYb5EvZeuGH70t1EWGlvUbyeHOE3keWiTae0EU/noiRCE0cK2
vkFI4/1jWPgYRhhF3zqOIOAfH2Ocgn99jNj2y98+RoOFzZljnbzsBvyeawX5CiQh8kdQwZZ3vMVj
RbfswMQBWL7CG4sLmbDakqtA8m5LTRouJmCVqNnyYR6Oum5PLvVQFAagxhykyN5kx6ueC+chLK38
DlstABNa5wF6As5DH+kgDESQjmRrokijfjXXFUiOH4Awyu/c8H04JMGQT4wdRBPszjx1rf1+kPos
BfzdNXqgS3XLjfsJsZWMI3Cqe0DOA9Uey9ybYKlcka6DbSG6gBTIdAIbLDT1zO9khroopGK0F+nU
kFcxjeOpqs07rFvCZVxV4MMcld2ces2gQgfW9j3WxyCDjkH/uL92QBoB3uaH9zg067INd5Dr7JYc
8bM9Je+yFNxXYJjwQYYKnDX1gvM62FPiL2cT5Hh90Mu6YbiegQOTEmIRhsrflrHV8BXpvVvaCE0F
f0vC7iQWT2fUy8Ditmh1b90CO9OpFqrrIAm7mQR/ZMRSq1ujaz4ShS316da1T3uaH56/j4PA8OxZ
8YajkAywsFA54zptwaFES8B5NUjGIa6gE6IXi5Qqp8PsbbccVb5IzV8PwWiM67HC6lcJd5fYBgdI
IR7fAOxaVVmQvoxxU6HUD3bipk3jAEwWdTbb/VEzjPnh+KbtV3+L2T+wfFN4hiH2MmjGdjq0KUO1
iOpihNtgu/ZG2i/32glgB9otFlkuLpGFF1fbKlRajN7wGgRhtBp4zg6U3fHK22ka5csfXspLdG7x
kGEHf2fgn9ZxF4kLP/bslV8IJDi1MKvicrirR/xLKa3RM+zZKL02cMO7y2yTP4BlZ23gfQPNFKc7
GRn2a6RUwzILyzkmUESkdWwg+1IAmi7kkXrbzDmMoK24jyJh0xxk7iEtehI55qApOeJgwCOl+SIX
ZQoFq048VGNdg34HQKWax+KhBHE/yFr85TSAfXZZ8x6ahmHobWrbfe9Nsa2moWT623jtQZ0eCuzW
DjRpUDvQeG2l/xQ5E5h7pV2f8KfImbPcdERzot5JZ8apF9lxOAvwm1976ddETeGxz2P/5ky/NTzV
0pM6FrE3LAs3MB6NaPzX2Tiwd5v6OPvDz0ig5T7IZtjKIuVHMfgg3dE3LXAQ92M1jA9O3/Jj1Y0Z
VA1xczag++bYvXyy080c/vJXCbhAp75UrrmuXA8BIpCYHCcp2HFkrbuCJDxfkO3a8bcmYgmsXtC4
azcvJnfVCihk/9Fh6fkzvHFXrc8h8WVY4oYOeZk9on7VA+Lxl4nOwOsWLMEpn61L0sskY5VI0Ka4
PijQfveOBcDumfvtauZjFF+vkHvl+xU8B9gtzRoXLFkksjWNuDq7Rv4QqXxvGGDZRPVSsqjzIdm0
UPmElpzP9u1k1hdTZ3oNkQdHswPEQGd68aaV9xIxJ8gs1NBt1R7UkUt7b6GGbB6E8uJuJSFuNlpT
eIEcabswsqD60lZIRzosF8c87KsX6JHN9maEShEEiex1nTb1lwprVcsqy3tehGArykcgjbW918NR
ARVdh9eQXH2I3O4ZIhflCtp76YMyEW6hM7IpbRu1jc7+f/yMEuGFwgTX9DAIaxnwCXT7+onmbKd+
bF9tJsbjaAKzTNY0y63loPBEqQSHfsW6m0CCHUCExwBB3qaRibUloYvJ4xfHKs37NB/S21iyf8hM
Xn7sm9vCtsdX7WUG3pbnwMOUhv2AtWZxtBw8BJCPdx7IVgqxGlDkeMcd7jwkEGpeeUBdb8mDBtgj
wp1aAPaBbHpA74K9dY4D+CyKAeJL12DtFi+ASzf7sG/YWujQlwe70zqf7SW2RW/a/292NWVQn63D
hRhEd0kL5W9S1pfrshD5EygL+Q66lMFShG3+pESDomUv8hZGgGYyhQhKVKDHJGeLg8+nz9WFOtMq
me5TkJBFWDop6Gyt8qhkj6xT8Z3yWrXrU9c3EYZz20OFl2W2UFYU7m2+tRwp+3+owyhBd3XM2dAe
ZnfI9kFvBiJUQE/VYGGZquFix2X30q7cwVYvpiFbCE4NGdRM0IyqTjNMGpCB1U2oklYQV0ApCzXz
AQpmkaMekJkO7vzOPZMZ3y4YiiKA3Ku0wZQ+VNByCMHsqNezxrfQHttNmmF/d33dIjqSjYsYERJo
AXx6DdPb9vryDYe1Lur95EB9ghRY0DlB5mV+V9NAhhh0DDKkkw12d+whLbXpdZYt74b2Pp7CTduJ
6IZMnelD71g0/1Afma6DrrbfB7XDVB+tTv1D/v/XQXEHtBjYHvDROukjTuoNN0ESAepRScXrb2MT
HY0Eq82HImzLxyINf1p61VV7TbzwsZg8g06Qz0339yb1Xp0RsZLna1OlqDizsqheBcY+tHVl8cD9
6RatiOqM+7+2uFcUC5W59T0gIWzp5ILd+cwaN5CVbk4ggusPSkIsJ/B8eYP4Ml8ZAEw8TTWENMay
br75tdhLC3jbRQk4N/gJIBSa829Q3hGvLvPYMkW6bZ6yNzTto1e8T6kmAJY65bxPiZLyU4R7N26l
ejVK1oOaEWcjavAW0DlQr4XENelMadtf/Uo+gSY2AGHpcmhzsSG17xBhlbPrgeKiBnHymppN10Ao
HIqcpBRGmmFVzrzzh52kxVwEMPAyThOsBc9+AdngBU7sEO+fBaQ65pPPXf+LjwnAz6GfYr6JOt6t
xOSF+zgIxlcPctadKqtnaZXJOQND9GKArscrucVxauzBEQydTdtbVKwPdknKwq1AseIKhcn2OlYV
/tdVNnUrXmbQ/aD22NodaEVsez1AVAi6oO605qa3BZbpn9AZoz3x1gN01d7Q2Yf9aiL75FizP1Hc
k8nRgJEBdrxVoz3ZyUSd/9X+x/y4xz99nt/np88ZEKLjY27FnE2AqraNZbg2bshfhx5EtiPrbroi
Be97rXykLorkW8O9MF0D2474T9OBZEQPmH34lEDoJfGgCpPgKf3vqa6Wj+nm4Qkofd0hh0K4VkOw
S0ffRbJaBpafbchG2gkdmE8vKjMXvGfgxcarlNuRtUdq1JxxY8rP7IUj/e7sgWX+Ka75+ws4qd7d
ZhiZdgvasjuDNcR9Sn+5Te3wr9l+d6PhZRjhX+zi7ucTNsZQYLppKwea9Lz27mIZ23dAeyrUD+NG
L81T1oLZgjylzdud63IfXIkMmxLt30wxqA5FA65b8hkNx100Emg6hhzL7KOvAPZl59MVzNXsnqlw
OoE24pa8adohwHOLz8khUw6HwQNqxQ6NfJdBB/PZrJCSCL0wOlMTVH/bJm/jBwOKdA/5yFejrnFN
M85Q9STLBTWnyeI7kDGbc282CABhhqLYUS9NKSC4caamnnLMwMlHUxag18m6qD07UQhaFCNAsEIs
GcVN9EE2OWDikIM7USyli6oJmnhxtKGmlQp1ZCY0i/paFI8R8kYPdjaHUsihqUH5fB0uZW0uA69b
Wy2HSmGUBHdDjVI1ptVCK9WDdsJrATTuerA//NtD+e2xGfCq/8MDyCmExXXK4y9zeNi/r4aYQx8e
a5acrYHEQUjF5TaOk6bd7xNjQ0T6s23uB6k+SPbrBiywTmFYW6e2kZVgYDVFHqw+edREymRuEsKG
MDVCObPpiqn5GERoHfL6MFGLXD8GMpQjnESEUuqElTddlh4hP+g9ABrsPXiMPaOMqzmDJNaDZHnt
rxHfHtbU2XpGcB4Rsmp1J5mKIruUXsbASovRaewka5TUNxsa7pvSwk60+TaP1oMgpbEFvD++JZPp
91hUgfh5S59g6P3uKKAHvKBemoMhB1eYrL8jk6oMVBApL93RR4C6dn1wmGsCAPLrE4H0B6pfxj1Z
WjOH6tP0LUzifk8BOAmC3O1Ud9UcwFMxby940d5RJ91kyMZC9D0Rd3SDibRF2cfvw2VeVSvhMtA3
F6m/j/EeAHbX37dBnT86LCkec6yT+JAON1HNcY87zF46TMgddQIhPe04iBKWNOBjOJ5XOUhcR2/t
u2Vy4fyBQBMML6EVIL0T2HfAd5/WSCo3aoi/gQb3q9tB3wdEI8E+F1Bj9LLMesNA6qeBY2X4KycB
aKZYGWbC9o6G4FtGPe6QFrc09ELeIS/sLMKqyTY+WAsUZJBeuzTmYDvNkMHItJKUlnLRdiBr2Sf7
7/7IGZ5Z0Ihuj9LlARDWFEgFHfn7IwZYeXG15DESGteOT8HChiKBngKrZhHjGd73Jbg0VHgHFa/w
zrWQZcHyONj2kLG9A0cAYv4uSr+UH5zIg4WJdTt0X6fRcZJlFghX04f/CD3lJktHswM3ekrypTlo
SqduoNmnr1D3DMHbDurdYY+iN72zw3PJhYxf1O6p2TBzJcAK+xRj54Fly7/d6FXRO1DQDvL2r261
no2AzB9ueh8zz0Z2uqjR2fJ6UZqt68Go3KcKwAkIk23bKU2P0AXLjrll2NsRKIQboUrA2EvLf+hC
hK5r5pRfWCy+xEJVP+oEenepN4gFHwCBbkT5owvqL6Mhii95XSSQxkm9h5Hhx1wZIruBQMX7VWpr
+HwV146TNfJgDeiP32puvrPGQGlaHYHZIo6YT2ZoQ860Mn+z0SBNweFHFiQ2An+dIfb2AJGY8uAg
ZQNhHsd+IFskX1tl9/fKwusgcCA73Ezgwrr6Q/oKkEZpYpXaWM3dfHjp2wmipaV964yDe+B6seoC
u7Gx0jFBGnuSN0i2D0C7/m6cxePJyLVnsrYPg/T9f8rUPJlgObmeeK41W4JfJ7/5lEkwPsdt/UZr
ZFot00J57CE2L0NzT3YV+DeC+8A+ZNOXLoLswDW8S2FgbbcZxM5tN9pQ5cGonqsIShWQirBWMfKM
kJxLpgsPpbkkByd4TtvaXooCxeqNjLKlnMxoM8WOfTGAuJ0PVsDEKZD2us9DhLeog1wU5JaWBX5k
G7L1qP9bmU4cQZiukze9Al1I66TDpiwkvr+6NBCAlOMBi8bxFey5HiQqHePQ6SZjmzoYvJcK5DVH
x4d6n9Da0VY+ectOgsJ/8owCTFjVj2rkxps+8dPq/cQCP24qIQjiWMguFlZmPdd+265EJ+0bZUFb
IG3i/ICEARgdwilYVwyqCIkVFsusAvlOpOXpCn3W+UB7A8iDtmkh6ZcMprX+zz7kSIckAduJ0N7X
yehM5F+Log2w3eIn2nL2pZhumTGdSIYsTdh4q/toh0l9DcPdojenH33/2zjwoYDlfrDfGsgyLEB8
JB4ED/3N6ANjo0BjeGZJEK+7WlrPpdF9zcsBauYxePCwqvsOume+GPQgg/0aBPDtcEZBTwJmTcN8
noZhHgRZ1XlQUyKgBbiJEfbpMa4dY5lNKlki5pQeo3AASTv1tGEyvp9S15SaCKA4+XTgAxJohS6r
LA0UgscWhNehBRafghAMGkYum3vDTqplWUnxNubqxnNQ67Xo1dde+u0PlEz9FL7jP3sZBw+zP9g3
qWem0H2S4oBvtjqnI2drafveA0vkSxxG20nnj+igyjEAtkagbpzaGUe6OHWGg0UZqE8+H93CF+OB
Wq0Jxfl2DKYtQYLKATrlfYOI3owQ0vAhULL83SZdMFCQKDU5k9/wMZZQRzQf+f3H+ZwGa3Q/bU/g
30B5iukZq2uEpbfNR7CkA3OjgzSFDVBg6bigKtPoaH2gQSG0ndZX25QEF8t4q7HtPsR+UGGXbBoD
vsNoNTcHlbs3o8oTVO7GAcIFIE6K9YE6wGQXLrhTiO0nb6yWV82Y9eers+NpYu+0evjkBiH3eD04
eQMu8BcQxARnWVYOX7SIB+wDHr5UjIWXUWLfsgL8fuNyMJDNLqi5mhZJHBp4uoz5CngiiBpcn08D
yyqQWa/pwdSS3R47+1Jkbb5S2pl6wgwZuIUpARBM5Oz8x8OPZs8Zt0C2iLJ0zXboanrEiBWoy6RT
k4gPr11kVFZiA9UHbIYeQhp4n/xEb5ViRY5ObKE8iFce3zNbzbZ5Bj5WuwYybbZY5FUOuQnLsm/j
dKp3Ttxm+4I7480EIUhoxCX1lwFyj54RGT98Ve/cknlvrZcPSxqUu0m9U5kF5pGgG284ppwH5aZ7
pieCXbQ7xIjceVAIXNttkIxrBoW+Ra4rFVxdqUCHaqiXCFoFZ24rC7gavbUH14YA/RVKD0DI+O6H
XROYS2RVA2+OkM/iY7BZxmoLfTTIGyOdcwPM8HCTp6o+MxcK9ZLlLsR3QIFixs14KAPzjlquNtEZ
eEuyXefq8gQ9lCahjsKI0o1ZAX7nhU3xPkuQZe2KdYikxpYfxuvCxkZzSBkICa+XQm4JnwYImh3N
NozJLkwSeZEgVVj7vorX9Isq9c/KjIsHKLmxE7WaMGjPRd2B9w99dAhqU61dIC7WSRm821C5eheW
hj//FlFVW5yrid+QP/0UQR4v15FQ9fo6kQrlLYds8ZnmQXAY9BujlyDIBEqVSvNfWWn8U6rEu3V6
iHfLEKz1ZJeu4y2txmLHJiqGJ5aIbTv61pdMWVCyLppxS24pUuiZhY19M/Xs8J+mnZhRLVwFGi6a
Ng9VceAEC2yMju9QNRiuc2dqN8RCRs0EsfVPTaGbRFlmNnW4vvaGCkEJs/gZ4bXw1ENT6CBT/JXU
tAWi5aXroxBB9yaO5ogUFXCJumkmwB5KTdNPTaQM4nNatencjEZlnqPK+DHPhIzHJYmKr9SKpONc
+tZ89qZpemoL2d4Y0BGjPmFxcdtkwYX6BiAXb5uRgzMAVwSjRn2HBdYuBMHKU2xMBjBF44b68p5Z
9y4IA2lc53TNw9jGS+qrpih+dPOfFe68rUqAde/Con9QeZGClivrj64mdwJsmO8SZlfQ0gFf1OyC
apqaO84dtZIiY8AAxtaGmr0FDHeRBhdq0aACC/QFAgT9kZo0ped3d16aPI6a9iTrm/Te0FHbohL2
FguMHnI3otoPqN2/kAuSMuICDYr9dUCbS3OLQgAgKPQkdOjyWM6TRHnd7zmgywswTARIZVfuIqkD
oJkr2zYWzHAERLZksLK7KbytsjK8RbVktoshb7QwyadmKLMrqu5CvXQg5/FQBJF7OzulDR4uDe6B
ed40AFOS6aTR7jroeq1CX8ZKQGEbpIWzQsEVMCRBZLKjgy/nYy2QqxhobWp/evsP8ZitOw9B8Ko1
t0mX9TsX1UIPkXD+EcmUfy/MAJkDr3zKQZf2N4e08Z6CsaxmB7x4+101YtOlZ8iwWbr3wCOziF1o
2hdWVJ29zOAvTG6mMI9fqnqoL0McAaetzV2hxDYFcHyDZBR/uQ56b2K1niCSNU3lcX4zDizAbyQW
Jcr7II/06dCFALyJfoTKLzoa/W6lM8i8exdseGI+BCuyBIxhnZOW5TbMCqjhOXYAWddMrh3JkieZ
YykYt1H7T4lYlcFs+6dEGqvyxuSL0yKokQGfjZ12h+0hlt8Hq2pQbKeHhxC7mYdPvtk8IeXRr5MM
q/1GYyFcjY+QjY3XpdddqOWZYFOY2lQurdECvkP3dr56740ilMvXTgnElB76MT7wh2JjBmAwjUFh
jVgACuF7XaOScdCq4AfygLy9D64o7AV6j5lvnXqk/hDcbivGg+lIAzM9sKXilml4rLN4PHi6rKJu
/eLi6DNqRm6I32nYn6wJWttg4QA/Y12qE7mRx2RE5bbtQBa7B/ioW/pOXiPjORpzbUCYJeUitkx1
a/V+dQH2xQCaFalTV1Ul7s9Ki5P+GsGjNLgDISA4zDP7uyd9eaSXU9fEwQUyaNtW4E2/bFjUb8Ck
16yuSz09wFVZeySTAk3fxvQ5QNIIj8rEHd7CrNqDeMf4YTnWCcKl0xcJZoGlh3r/G/BmGTunM/sd
ykuB2tSDPAd1i4lZ76dBlDdTaBeLdCzEOdNVqWkMeLSCJNDc+rA70inkKlf5oeDgUrySzAAWCl0f
o/PArmoWB+rIcHuty8xGjp+FUHLtzPFcgyHtpftZKat7idgQgSMXrGhBHfAXCf6vTWKpYUNOYG19
H8Pc2n6xvttRtlN1Ed91NRcPLOcAxmcm6KuaJH7IZNmc8MT5Qp2TENUZFNXnYnCzEx/TbAVlXAgs
6mbQ4Q24oFM6hEaCR5juGYcUPR6EO7VQj7smY+98AyQuu7NHr75kwI8u2j4wX0UzGKuyZsWemiky
FlDHVE+ppbdgwNkuBJhhXsOkHoCtMP29J/zkiKpTd4nl0KJLpXye8kicTWMMQKALGACEZNuVUfrR
odRN7Sa1mxnV4ox4JTTRogbJMKCwVqCyEQdqfrhZejaAxcCNRqCCqfmGyg4wbFXl18BFTF1HzBOz
UUBadf5lCIryhIo4d/XhgZQESgASpZau9ghbUMqTBzSJyq9R/T4HeRhQnAMXETiS8UAy71sk09ZT
jRqQoayte5TSW/eZDDYNopQ35JHHCQfiIBgWiE6BZ9dL3GmBp824J2eboyZbjg0wVxhKIxo9J8KR
zdou1ZQvK9fYDL3zhUFTa5+CjmnRamYYZwqrIzUhUsOfnE6+N6NhjDcxSpVXQy3dXVVAMIz26i7+
6p0sVbyijTz1UpN261dnu1XhEUGdZEFZrdZuQRWcFP0mbnwDIOW8O0ib+0cTqK05O5aGoOQakGGl
AWSn1FkzDvF2BAZonuk64M85ESmCKuEqFVj2sAxAN5H36W2Q4o02TN5dHRYwAUNwHJj/djX1iQtJ
BDtXy6jNumTpiVyuEqNNN3O7iibNWR7z/dy2Qrx867K40BRl7qa349Bhf6gHA283z5+hxBYkdcMh
i495pNITVjvvh8lPAPb5sy3Kqj/mzZHsNKINAw4aVZOoZvjF02DzqQ8hGOyhlpKHBluQzdEd+PeX
ywKgqPWVBoTOEEZHGhVIOxHnD5MzOo+DBExmjG86aTiPZOHGtAd9RHcrtannZr1Iqs47kkeBjMSq
kVBCa4zGxYoKpZKyBocUDRWQkj2gGCtYUBMlsdblv1zJ43V3GwPi0iALH3SZg0rpqc6PrT7EA0e7
G0UOzNCUH+mMuku7G0BOzAfwNn6Micid+smzmirw+fx5Sv1G09drSGnFWzuL0hUfwZq0z3V1WIX7
ZMUaU507APDPTpalq8xk/Di45Q8Zpt3JUt37IUrs7kQ21we/nmNnR+qctEcHtgbE0T5cqGdABR0o
ncGrlht31zTV1HviaI71F/lRWW4jzUAmSlPRwWhBUam9qEWuNHAS7Txwzmj9mus6/e9zkf3jite5
2K8r0sysKPgRtdh4fOJhVKeovCUEr//RxHaHPSUtHivXXiwnPjepFwlxkbHmbDuGOg9Mhnu82g4t
S4DYIdt86gOgsk8s60A2OhRuhXpmfUCZAUhKX0SLHQR4u6Q3PhmA3/uJ8VK1dfmt4P6LjxvhG6ig
5xPgSeeT37rMcPCeIZVx0N2FHvlfpvh/94EEGKq8wN+9djrHOdWDay+I6CEXmdg00Kmd2SG4B2WX
qjKdS4s/+Zn5j/HE+MvfBoU+a2Z2iH8PGpKKv0Tcjk+qQPFllxvDLR3a2Muglbm8WiYE4m7dWC/I
U6FFX03NZllU1taKsUd1lTV+Gpp1SyOsy3CesrfA1WEOOiihr6Bjerd1KKxtGoIIlmw2MpSLpvUK
UIMW1bpHTf0+9GT2PBrTtqgZQK3abvI0uNpVVL7bPTC27Wvg656dEnvID/vV/3d7WaN+jbJXc+JL
Z69AeQlN5nFOltWgrT11QfN4zZ9lPau3veMPy2v+TCGFiShs7G+uSbHOjr5kkT0cyTTbxbIMUVFG
ObfJCNOT4NXj9dIdHjjbuhbj8jpNE/afp6aO0crmqWkiE1TOt53LlpOFCkHpTggMZoCkXLLKdZdG
I3PUAQzhZe7BE2rco67lKdc28mtYCAVFIEi2NMM8lib4mEWB3QcFTXrSjwOWp/NMV9N1zjpOt3jf
eEfqBA7sPnGy7tSjjH815B5W3HohM6888OKrRhupWW3ywTO9K7MRVF26ScsVp4iQa1NheiSb64Pg
AKDwG+qc3fS8LlLhm6utYD+v0xqj/3laGhQYCGYlSqbYR2EZRNP2YLSmTjq0H9OGEluFscKqamgN
Z1+1WNnResaPgIOgJq1nqOn6vUIhElIT1yb1opYNv5f05EfY9fSoIN6Gw/Q1aLElijyzP4FQHGs8
anvaSGd0iMMCErFps6WhIVjW8drQQ6h9nSEsQfDP++b+D/s886eLjFkQLzy/UBuEOPr94EUPzO7N
Nw9CrEHoxN/zLumXzZD4Fwj+tifQeKCccCyDr1Z9JgcHqsTL0gOnfD1U1bmAjsiKOtwth8bUNyg7
1yu3VvE5EFF+EROwB0htxd9d9thX1vSVoyh9BR3bQi+bwy1SxIg9SAh34p07vuWmLRdxyqPbonDt
C3VgC4DaCt1hoMRu7qgM8C+HDHUUQ33wLAFqRUdDoAap7smmWgcou7Ef72tEBjc8MtRNmAl2YzXm
ndSL2gSpJGqp1hAbA4z5UASGyGPkeeyAqMqeilquhS7UhLqzcwD5+dxJ/mSnw4jU0sGJ3d2fdj0t
2KGNQ2m1u0/+2k4XSCdDHFGQM3f+MRzVu8gfm2r+eNd6G3IDJLI4TlW2vU7LgKk/J75a1oYczq6L
hM4ATP5NH+J1jUKz+F6mAWC/JRQbhiYolpZtVS+ebFDGp5rszfeBAlCq+B6kIE8q3O5nZxerNM09
6IfeIxmUYJeSyWUV8PAnUmeAcWfptyH+BzV69ZPddeNa4NF4qs2iPFrIrm4m38aiEuQDiyj32++c
RUtjyvKf4OB+7pzRfgmMAcF9RN4vrmGa+9JG6b6HPdldUvj9UrWm9Tba/V65VvbT9KZDNwb1G0Cb
EOgC+6HXyYVQ/fRgsiLZhnadHmpPpje2L6KVFfTqDUj67Vil2Q9zFK9dlozPvRpG7D6t4hRYnX3C
L7tce71XvngdwoHalbfTPvZ8cayb2FlWUdKBAtuRx9i3podWWg/g6XDeoNEMNafQbk/QD6vuQdP2
jez4YxCV6Wt1LkBbd9dIASB17K+MAMV1IMCMLkZexOfaEtjsc95/a5y1m8TFd4BrIJOlHZh0xy1q
KMU6YWlxi+KX4rYMUeCFgEOFeL2T31rQXvMXVY5PPGU3ZEINl4HMtAq4WAxGuYuMNtkoDfrAv9q4
Y34WLxA2Vgeu33tzR4hqgSksb6kl3LA850ycr4OyEm/9UcQg8fyYqEDCeIUfU7IxCCKCBfX7xOTj
CUsucr/5TmRvk+bjrNJuPLb5onA05dtM/DYfyYcOn9rVEE1HCaxrZ/kHSNgsHBcsHmXGLzNmYYI0
BoIDyYYwDlHB5BkFGs/USSZXWGfG+3d/CYQ70mSRczQa31kSHYVdNq9lbFv3DEGz01/sfV18ties
fXUy+e5fAwC0JPYK3DevQZiw+yFCNdUcySrCXr7zuyIJcvJccIMSJoFK1XLwL7RNC+6J0L7FF1M+
9ZBk2rUo4d60I7deJzx4o84T3/AKA32KTI3T2DnTDVSqfRBloCBZj0ROt3wa9EhZIjAUudU8khyc
EEVgNJIDUXHTJRAd936NpGuaHiCKNNIRvvkqAT4iB6z0UHsRrfOose+BEE82+GcEJ5XG4BuGePWO
S14hLyA41MI7E3rUHPSqnKXfIV20GStvilCTKNbg6LK+JzYqC4GYTZ6dyVSrgCl2U6rI2PZT3x7c
uh1PyLNDfNwr6/saj3mU5/XFFywjHsMU4N6FuJ+6BoxhlVdpVRH7izTMYvm3zzZ1/F+fLarMT58t
NgyI7OraLyrdEoPMl5KL9jAXZ+kmUPPtgcq+JDPuUUci95VKU7VAZBUUchSu8xuvXvMYjAGz0UXa
du0PwlggjV1g1/o/lH3Zkp26tuWv3DjPRZQACcGNuvWw+j5zZWM7/UKkd9r0ohXd19dgknuvtLfP
PlEOhwJNTQkWCUKazRiN3PQgM1uGvY+7TsI6j/CNDsRpnFi8+qlQmslNHYDsXBb91u6lOhgICTl3
ju7PdESFjnMglPmOs7o1lKX/LaqZv8gq2W/sOLD3rizCB3eYUtqmTSsiT05I8Sw+k8bAbQv+TfsZ
2T/dEnzswaHHVGLf3PofbPzzISmNUCIXgIwjsen6ENt+oNENMO4K6SIHxU/X5RRWXNt1szAbRAa2
CAt6cgRCpHkyfiE1nwHmVBQFLHAt9hpR1DSXZlJrA+TyTd1/p9bjzd8qhCKCxkrq5yrLtkjlhl8P
b97GEuG4zaZqlxbLGLwhnxNVskNiOaAdN0b2wkT/fYg99x6O5v4OaNrIWJ/0bdNzlrWW8FxNw2Za
bUl/iOX7sDnsxrsxQ2Y7oLWBsLtxETO2hHcx2tPWlqoFi+P9vPGdWpGxEX2owpYZ7eOSwRNdIrvU
pcDVIBLtwjRbsfaUx06Col3xkWidDdIz7t/PCHaaY9DATpOOVnNCkgngJTIAVZ9A0Olbm6BAUnku
+25D7VQYMnqNncLa9srSyGFBEamgPed1mSOVPxVAkHGdfkHCKK/fdWxH62VR1/D+TtrUoGXQA/8S
TAtJAectuNb1WXc+ggnBL7VsclA0dgmi+eG6xyFWXs0GiG/NwoVpsl+QsJpa6MhFpMw+L+XdTV6Y
FqA/5lZtr8wCgYY9VgYCn/FjTS8aXqHw3CQc7xwdhu5jYacxGM5gN6cCPqq0g0n3z3oDfCEFXH+S
fOhJ9TGJTHCWL2msWx8QCcEUPxVWJu0171MnvQAerNkwYIFfCtO3z0w/m1O4FxUkpqMx7OylEw9q
HWGlIrEH8d3TGGRLUklINniqAn9PyNe3EaqIPWN3EgKmz9VqYYCV7OBNBR0FiWgUkBQcCLGf89Yk
bcaKI3x30hKSg+m8HnakQyIu8j9705C3OulQNc8zwZe3FseU+cp0QChZdXAYdSp6L2JYIyvky6Oe
9m4JwKHg+yxLqYXURSXzTZsZP8gC+cFImUQRWH5CgKc3iGY/Ye/40Zr5i3GTOrsieDYi4xOioO2z
ZQAfsLPDAUzxQ3wuh1QBe0kbVyShWcuyCS3YeNJgAcRI9dYHyRpBigqxHxGIa4Qfftdx+S0PnOZL
NcBvbzghe8CCxwX2ZM3wd8yTPT5aLVBwKmTzy2Tt4OOK90Eo3Iu4G07zoWFr42BWWFOppEQm0dRC
hdMhMmsALF6P3WATWUjaAxzGCwIvryDrrB7dsfBOSBasliQ3NMAX8yos7xLfHu890WP9MnUIgRUA
j1Eujhz5xU9uDjrdjqnnIB+rRQ9EvhMVQ2dkJzYVNxlVdafrpUitTT4iILxT9bl2gvzZQxTsQ+36
S2ZVIeJaVpWj0mfRN/kzLK8Ibyz0AykGeXpBlJR7R7Uqrt56VQ7zIOCrA6xqGuI9nMbMpw0tJqJu
T9V0FOMKsUB8S9XGLeAehIF7Q9Uh8mvsxip3ZU8nBVZotId3w15SKzzxxqHMAW9Bra7TRuemwQqV
WllvVXcwGVypEUvXaFGIge0yw7BHoC0nFRIyqkODxQFMSVnin/Fs+Wc6MrriC/Cyu51l5mJcWKXf
wgA/AAnezLAxzMDMPB1REYAV4OBHKG7V3+ndulEPUqFut+r//1C3U/4y1C9XcDvHL3rUIOtO71vz
0Q9BsmyAJSRf0OGtAPCHWOV20S9AlJAebw0yAiR9mWd/dqH6rdmdRrxV6ejXE6QNPJKmBMrhPw8T
ln9dGJ2FrmQW3s5KQqcqeb5wuHkddYS923QRty5UnVXokLoURfwZzJvl3rCj/L4BNaSAK+ikJsRO
KopBIArE8IvlYNnvso6O4mRjgNToPExvAGKjdb2pdIJcib/6Uo88RrRcL63zTT4y5G6PKWYiOuut
YQC8Tud0yUW5IVbmOmyddVJE3nI+418Dw0qFxG1geHd07lQr7JJLM17NQ1HnUL+ksgvv5qFSbRbr
MDLKWcUzvIsNEKItECb0wdFMH+YjmbbvR7+RkUrvcpnixUY/KtRfRzeZMw1zG5UabrISKKHLmOON
B7yb91C0EthUIZDUqeqLxHvQFii0u8S6CyeNEvRqu7AR7ZIaS+56DznsLVnZsfPcqdNgCkQSDyxf
CBFVulZ3rm1fAJNSvhWjuBgOK964lpdQ4kBB4vpxfZJRCmwmj/l7WfXPFJBOYejBFIsOS8Asv4lI
g+RZOd4hy3zBBmwIUhHfA0CPX+MolhdMSGuqUWGMQHNO7eatHYIEnr4GEXmFV9ZL1/GBYiCz4Fil
fNrPl85L89dREpvvMjpqU+68hOGQLlieyZe5Ndgy03tMtE6uQojkCtxr51Q345FEIIdIrg0C8e98
zGVgzeuDJam17TUEGNM9aVHRVPUusfPuTLU+ipNrpfLPuVRA0phGJlFfA7PCMaxgf5O1uV0t3Zgl
W1KhhlRnSLrIkcRDMhozLEEnGjQ8Wd3OGkhtb5MeCNS38QI7tfbS7BGvZbq44Dgf3SN3mit1o5+E
uIgSTKXFh9HNEjC88XwJt5+QYEfZAf3rchMpv7rvPRmeblempR8tTMAkIicVN4x0a6fyF4bhyA+/
qrR8hJFagKsiFSq8ERggtVmb86+iQWXrgXQvy/TydlrWKHdnlIhbv/3StmqNA3O7L7cbBwMpcP91
ur9dXa+Ed5cHLzTW/Df0+mKyug53c3Us+AEIG92UTNPtpQWSBCPP+te4bp6sNEueYlA2HiRjiNCd
5OCzs428uYxYhyP40603DaCM9m5W8GcNoDtSYo5lLhuHVefIFsbKEHm20CDge2x781PXDOrcTTWn
8MYNYkWAnFx65mPl9NW9C9Crxk3MRxK1JqC9giyIjiTr26DYZVHOlnMHYQWPvbnxtTaBxIkQPayr
23hPgwMTNznAKmIuqEodPDwshmP2VxK1I0yJad9WWxoc2SbZKbbVd2qkyzUi8wgXbnA3n72xO0Sb
Rc6aBnNl0l0YLy6kT4UXx695Is0T1XosD7e+tFrAieAHjUYfXBGpsqJGEuWgyFzwyu8PVE3Gwt7J
CMY6UqFL6JAZx8ZHEhgSHC9eObIdXQBgPdgh0D22kthTddFnFtntdeRS3xdj9+Z3nvcF1O7DGoyA
wy7oUQ21sQLoFmI0Y887FVUGBj5kUH8BTiEHJG7WHIs2QuiadZ3FLRj4dFkCLwQ2muX7jhsQars5
Tu8Wm5/A9XFsVbH4EKhnxzXIxE37wcBlF4H/mfzXAVPfdK3zpwJOtp2uQfEDK633NCmQaxtrwG+8
/mrAyPktFgiATDr+I7HTuyYdrBcdNwP4QC11deyo3bql1R/80klgp0gYUAN5/5QMYMZVIOj8Y+oO
jlL+I0J3mcEYjEfU3/h2ikcjZUhJmPLII9cAsoWZIPksDftP4KgAljPkN7Vuyj5PPQk3Igxqs5qD
3HtSQ3bE+2jDpHYbLYr/8AnoAJTHA2C+kd5hLLLhLZMhoks96zNoh0sEJZrZru6b5FPZ8pMszPAb
8nnSZYHw6IuWFjvn5gDXmj1E3/7q2aUgo6CeuRMgbNu22cqIYziIApV+oiMVOMl81P1G9ju9gJkM
82aRfvCzGY49HIEMtvvg1Zt9bGJ4NMTo7Mm9NrdKeMnWwiiRZvKXj46UaZS0rHck7+N0oUY4di9F
WxRbB/ADn62smPGsnNQ114ntVntEIYGcN81nPCuspSGPGwBoW57xadJ3YSdDlhrCFMSQA0fZKjpr
PcXOL0PHAw52GSb/pt4tY73wI+0fvQS0IwiVSfJLNgo4XMxuRQ3wE+aXCByC9ioe+xViqPzjTc0f
RLgZglQue45szg6BGkedte1T2FlqDZSyfjNXRwCxcafCJVmyfdKdOQLANT1RIxWdBGAYkrquVKPR
+sR8H42b3ftogW0Em1arBhYv10oWhJkF+qFT55rVhWo1S+td7GXVkqpUwMgLYM6gvvDSQ8DmpFED
QGzJJyoRkv1mjFlj6vDzGL87i12C+7VogT0ZDrx4NBLzSNgMPthJdwlyrdb99FKAoy+abNHdXQnS
7kfejUcG8tc1Jkd5DOsgXDbuyE91ktufGODSZ9g6rfIDUCiLVYCouS+k5qclP5ks2LpW3iKp3vlG
b0xdg7iihM3i2jDWHJugdVcsSKJvOjvnpe19bRPAro7NGB1YlqrHqSO1V0kODh0L4UJ2lDj7JMU4
Tm05bwEMPmHYdN/gLe2WLffC+8Q1TZC5jkAZtfMRJMrJu64AI4sGHaNamXCetkDoBfYHZ6uejmxs
VTulXZgLcDS3Tkd2+CqaHizuLtKEpgKgmDrY1gjo3YqGwymrMRM1WEYA31+OWw/zzLWUcK1PeGnz
HyNshlXtwOhKf8s0bOMrmOUmDq574THxNQXWLsgUu6/W2LOlTuIOXHpBt2uc1tgxeDrvOqSEL+GX
G1/Kvj8RhrangN4Z5d1XVqagg0T+hdHF2ZNC6j1St3EUVAVoQzElPxmxfpfdWulIMVavO1UBGYhj
okSKRnagS/adND05ZfU6X/H0U5wCYF+kkYV6B8aC+NnLilOeG95TDMCnA2aU6S3shq+TPGX4Wlhh
yA+OBFTKz/IRjoxFbtblDtNff8aCvz+PwunAD83zbWIV0aJkPUgIqEWG0bhoShFu824Ar5kBHgTX
m4xaU/Umk0k67BDbVl3bqagBrA/vBWRUpYabLK9lvSl9q11SlBvFu2EPfJXc8fcU33aTGzIetwyx
w4uUYFpvzFaeXV3hW6vXSmP2CAzTulOJMNbRdBQ4w/sRyX7XisBSwOcgVnIb4+k5uHAdbOpRFs9V
pd5sWBnforLewBDXfTUzP1khfmq4aNeFZc/M641KpbO01GgsfDczTy4hIpChmOoCFjmsc4IDiaiQ
kxWZjuCmAJdrMYKIFsGrm1hqZCtPCXcUxEUyAACA/8Z2zjDk5Bdvmn6Vtl6ssWG7mAtMyYXRJ3vO
DHwlygQc6G0dcJDpmPGbj7fCtRzxWnhhvDKFyC5ewtxjOOb1utdKI9cb+eJg83zjdfZjyNvmyQ2j
Zuv7ebYPMgGmtGkw0hhtMK5HtXiFaT9e+XJUK8ncYQcIQYpRp8JTqlz7UlhrqnZI3ntw3hW4LbZO
liFcfGgeR+UjtT+Jsj18GkgwBMPDFcwg77JSng0/3qvQWf+Os8K38amdGsfJFS9VyFYIWeyMR1jX
cBe6KChWlPufwHW1g6/XwicMLE8AUqyuIYwxs4yq1IDo9mZnLw0JAISWt9Yz0sDbA7eKCZvahfmw
AjXEreoAQBH31T7HdoAIadfxlsmEMA6q1k9OXQWPUjTpqR0Sf0mI3s6fcp3b6Sm3J3omWODXwPJN
QUpYLPDamt+At6ER82+l91I7A7Be8IdIRdQ+MrcC4NA01Q7hu24bAtHYtnT4EJoAr9Y+HFnYG45f
OQMzT6+Hz6CLeZdTIAYwMmc56Y8q9teBMSLHoGmSHe+icAMnB/x67oh5Eb5yoNsgKSRJ052ZZM0X
0gibiG9jkPMtsNjKljP0fGOwfvvbOgHPw1+GLBnhejvLATRc6NRgP6NbqquPVWqFxb/b0/0vo+5v
rb/0vSm301Cla+jtGIyHboDTFVTo5bGHBWCjKtN+VAgJA82xGt9y/67oO/+7PZY/bOG6zzo1sbMM
ev+EKPBq7qOzwlirAZlK9L6xgVfb2Ahz2J6mNZCeFjzdVKTeaC8Ze73lTN/yqguASeyzEuQ+HJnX
nZPVICge9Hsm9k0PnAxYm7fZM2c1w3PaVcCmyexNKhBcHCVlcUYSvFoj7Kn8VEnzD0ptNJw/MG0l
b7c+LBrDleGLF+3gj0lZa4gwLje3qlf35Qb0yOEmlUFwEgNSr0T/maLf87wFNV3oDxeXu93J0tjI
RKVvvtbJrGD3j6w3F/AWlIgQwSuRY4UJszAvTkRDk01VMVWp1W6R20mt2Ctaz9T6u76JE8JzkSkA
qBrqgmUC1pUgoLXK3j2WmmGpOcm7ygFgwNC8lNrN7R86ke4D+GhXQLgNsmsYTAkMOjoBqVvwPxRy
iFeA1eB3RgHWv8GQyXOQ5tUaTFLjGSlf6cEpEmc7Frl9b8eFWLbCCV9aSz1kac5/ILEf8Y2efgvL
P7vLUCN8o00sAPnjWwF8BA+mGC87iab1ET3Qf6LXn+QWV85WFtXMPuQNVnaP3O6jUiBGuhESZUXY
bIUOAYY7gpDo1mAWHIQfxj0QbIBEVSBqH8aVRSmi7kjVZsjfq5R6iK/Dx9bh5yq1xgzpYf+2bz4i
RqdU2QrQtidRS7X3pgUWohHByOaWWXimOhWTip+Pah8nMjqZWHwSnkGsu+++yMN7p+v5AxuTC4Eh
2KqztwgbjTekNWTjd2TpBfdY285aJLYGG1p9Cq1p5frXWMCvmLVUXTgb7db2GhZKBAj3Ffsc2cCG
w3vtX1VYA48bk/8ZOTLwQfltCKNLZ59HhIqDHLG2H5q8bpa5qfovsWe/tp5Mvltlg+6TH0qkJbZK
LHlzPBCt9oFgIGQL8E4HNbBRugFuktaMzr5pvKaGz+cFZZuY2SmPw1daptEGwUWW68K12+RAizWP
4xlEMnyxJjQvwvXSvZ+ejQqfign5i+RNr5HaMcl55y5vqiQHTWeKD4NXLgDYO26RNJN9lqAXV6Yb
fst8pEFLYLFd4jTsLi4SqBFq0ITfYlADCAbsDUtG/vbnnokZjfcqsz8rrGzOgGBSZ6x61Rk7kHgn
euOTa0fR0Y6jTWBl5WOaxu29k0gEtHRgBu1hc1lWPmM7ajVa0ZyCwP06t7LBeauR/HHE4gi7Focb
oLyEhYx0qQBw3UZ0yrijWlR6zupf//W//+//+aP/7+B7fo8w0iBX/6V0dp9Hqqn/518O+9d/FbN4
//Y//+Kea7tCcGBYCA/oI47jov2P1wc4waFt/q+wAd4Y2IisR17n9WNjrUBAkL3Fyg+QmxaUMN16
fGd7E6oCMukfmmRAGq7W8g2uc7jP1R+tsZr3sUEXJkdkrGwTWmF1QrQ7hJqJ9OKMYbZ1CVcOdKl8
EQ5ltJ1ZBpOo+amOPOJLiECY2zIjTkS8gjcmA0EIkImoCBL/o4yUyyxdMTzjB9ATI3p2KoTK+rM9
FX3cVJsckx4Qmf5sTSv9BWD62U60DCt2kTkV4pHcdlahvqRMA4BNgS3++dZz6++33nG4gydLCPig
Hf7zrQc8Xm50tXQemy4adnACB4iaMsd1xo3ypUrgNJmWE92IPOjS5dU9aTjIeUKqNkOY2O+1KuUb
hyx0P4zTsQlmw+41yIqNgxB1+JJGlbWK7aQ7S1BiHssCOBkDfFOfRoA+4/Y6b5Mq8KcR4z2pMh9M
I0E6nOg1M6vhToexfeDcwpyLlAb5H55Lz/715nAGqy/uDkdoiCMc8fPN6dykdBE6rx7nRbpTCOTl
5/wTPBT5FYyy7RWp+s80HUa1MjY05VF10kK4lroOBbiKrdB7hQ1Yrx2RKaCmYWIKVQ2yBiGaL5au
znJaI+Kj+KBiln8WRgHKoKKD6pDzYy3vQyOv7hFov4HDXjzmE5p+CWxbwB0k/pFkgAxLtk0B/Edq
pQ5V1G/EhMsPqxlYa6uII2/PzpYwTsX7USqg9vsKKY+9D8wMu0uqZe0jizBsHsFdLx5/0eXmfe1Y
exfMHb8s7YlhztLCO0yNRD83tgGykzoYPbD8ZSeTR9+rzsuemqmApbCoRAwAMFSyyGkXLVIPD5lX
qCdLm9XGMMd8Ta3Uu+vSuXcO8N672d7IC4utLd4kH8Dl20ZOs7LZbKihtFj4H54I7v30RAjGXBP/
BRizJdKQpT29Th9mKsws1gAomeBR4BMF+jjWXzoT8MqUZxiVn0yvtl5pEcaNtj8Fwu8vRuhhiWZU
oIKMkzOxys4ssUQeO9PD0mHlFUWxaCa2twhBgODeKWOQyyTlkTpRA1X/rWweLGCJv61rF1E2g+2m
O9mN5pFx1zzSEe8Tu1yoaEC0FRxFbMfdeH9r/pvOLOCV3v6HuefnaX+6mQCAcjhzXM8CEJ3n/Hwz
k7BiZpox/0H29QBXbOYtTOQv3FuR4SHoOzPXbeqpl5yJNa11SaOqQmTpdbwDwi2AZ+FGLFzkHrfF
roafYZpnq2l2/VAgyejcanC5QYHE4PiA0ckMYU4LRrWsEhPwrhbLrqaXRAsytlADy4z3BnhnIlgJ
AOtucK2WcVEAy8b30quDOJd/viue/NsjZnPJhDQtQO4ybv9yV7Ci4oFqUueBgS73bE+EGYA2SRDC
NrHcEiZq4MTxqi+ukTOmqw/QyzkIDQgumWTAz0NirAsoeYJW9uWAOLjeaVZ1FRvA4s7qJYUC5gLw
HKBCDo5iihiMg63Uhfx806odRKdJBurGbjINFX4MUIzICHZU1ZOsc5GhFA7232SkV0ympll50iPZ
ULtYanPjpZrgvRcyGPkjpmHwilhBDKQup9xTS1SCY8uvQMNFrR+0PV7XIMjl3inU1vQIDF/xOBWb
2KrHnRIIVJnkLO8dzBEwKgI1BTt+APa7CMYX7qKtvf7RmhJICiQiw3WLndJUm9q6AQxKaQOzHCjC
wkAB3rkz/T3IvYuLbiLAzI+Nf3Qz+SVVunkgUY5P1yqFD2NDVWowU6RQMfP1n58RS/zt1fHAt+GZ
IBfwBMcufGr/MA8NHsPnbrDLhzA0J6uz+hzXVfRNdQg69HuH3cPzEyE8DwHAwNcLvxVAxIB/338p
4FbagDcVKBnSiZ5+7ulVLcMGZjh5mREhxxVYLE4XV7BJAa6Wqm40rsNCj49tKIEqEqhNNDHiFbmR
nwETi1DTqYodRrNz5YRyM1WzCuCjpSv6HVWRaPQ+JFVBhbyOEGq2dm085ZQRFPlWvY5Gp/mQeo1s
cayMqmpOHIKhatynHKluc+q1yAAkASYwc069Bttcfufb4kPqdRH09Vp3mZ5PQecZkJiDuG8rkS+W
JfXVsbzgLmmR/9ojiefF1haYwhnLTohQkE9mUO79sDBfgCrSbDCn+ltSi2PgnxfwdXWNi3inFjsI
kju8eb0NawcjLMBTdxq20HkAU3xxqjUfETcK6sahbMMnYK5zxOfAWlfJej/U8AggrUAugX4RvWH5
pBbZWPrPSTtaK9/o0zuF2NCdzltrTyOJBh7A20gdy4IHr+iRnAyerNbvlxZI42CcRm6yOxUkF1Uz
rGth66XpjO8yaiC9Hr1sxux5DDfagsSqvnMDWFAU19lXAMAfiBmyiZuj6EfvBUGMzjKWQ4j8CdCn
yqYyd30Eg71p2TauwM2+ulF9qH31jGSG5I5hOrwO2BiB8wIE1yJvn+DnCkBnF+RPeTbWoAko2i1V
nTLV+7pF4DhVQcJs39c128Tazq+wsJurnKXywSrz9I6VcmsOvXwgUR/5zcq3/HFjTzKLlzWYO2Z1
v0vVxSrUnoy1IA0CumHq7MlgFJKHbJI1vURsdMuQEI7FkgvothdDmdeoEjDq5fXe9qvyR2slr3Y8
ush5rf0ltun8vjTtesvT2kA80Ai4BmRxbopI5w+/GydN9n1WlFsYLNp12YIST0XFQzFloyAMEizJ
UyKKMnKQNtapwisFGRUCxAGk64yYpdyohE++H764eb4ah3x4jhMkaLilY8LXgh07VrccCRo5PqQT
uKFIixUSi/pDVzUVPHBd2yXnOs7LZW0y7wp80nBru0UExpl8OCUWrPMISZSPjgVHgZOH7jfkVK3T
LOA/Au0d2wYeGeqOcADvyoMw2iKgadz880xo//q1xKqBM5vhw+CYpok55eeJEGaosrF6owVhvAkT
a+fDvUQpA4CbuvdCbe4AFQaLCMlacEeFTfs0Nk4Jwhug5DuyMK9xq7Ae6MrsjxxPJYLL+OebBmL4
Aziq/WgnJ4gVwlnRAFnF/qf11gSqoicCWzoChSOIcZdBXWfzOsJG9PFS8yG56LCx7qmBwQNy/8+3
wfx1XTrdBsGwbpj+OQ7tsD98D2TfI87bZfryHtMuvSmTFK88A/MxQLxgBrCtEXiZt5c+DewV7+3y
18mAehQpgvzp7Q8L4NnBUxYv//mSufnLOkearum6+Mu5mDz433aeyDQ1QTQYxZd5QT/6sgISehB9
hU04nYzyQNtJtqXns+2fYvrGVyZCqf4uDoDbOIuZraOvoNq4addxI1ciKhUwmtZk5sykFz1bAlgu
eboewhrAwXB5rFRihg9GUL4fgQiBrzqNNA8VmHw1TEc3PQWKvP+wHaf9w80SIvBNxzaYY2NhOx5n
qP/8OHfD2EfVKJLd4CPVSyxtkLK0I6i2JRaaMCDJh27sQKg7JZx0OrlH0Fv16abhG3yEf8jqF13g
g7XRQipD1PegcgoBMJ3im4Ms0Dx8FCwrD93USlUqAjiCB6cPTiFn4Kr6q7/qRII8YdP8xrrjPz8D
1mRd+Pnn4uV1JVBCuCUlcrJ+/rlItcgGeLKC3ZzDZRfL2SID2753tgIFxyUwVKqpSMagBg445O2g
kNMGgOpF4gDFMdAtgPmYhNk6sOztACznEPsFpO5+qN/aKSfMrf7D04w/kj1ZAz78GMEs/BLPsy1Y
eLjr/mrFYmD1zWUU1ttUJ/ygQRe+RKQQItg6EXyJMg8QeAg8d2WFTEneRwuSIwJIboDFCAd0pMIv
HstTkB0J52LC5/CcwS9KaioX6hiEMLtQNReApa7jjgHUMcJquW+KAzxm3xBsFf/IigsWjfgiqcCG
R8p3Xyao4SUsg/qB+2mzyVhZnpq0lQc4kbttU/HxHrnZwQpTufV5Gqdt/OjHOL6PYxlAenTgTCyK
ixmE+IAAQbK9IND+7AZJfrDwdpuTeUgDgSrQ59F4roC7cSEtElN10OW4Q/bzK8lJRI1UDG3pr0ws
+5fzGUhYT0PWZt8utFLBlmQfTubKZquHuD5+kGWtyk4NK1eiK8E3SV3oVALJX1srrbKPMtIxRJVP
HGgtDBZ/v2pQUWNP6DJvi5VWuQ8YUBBTZI6BxdFEfqabqhWy/SxxigsL5vrE9AGTp432SPXczYNl
E5gRVrfDOvVrB6xqYzIsAaCML4rTZI9Sh/I8cv/O4SFqk0invrmoGybAFSIy+G8CfjR49uOm0Qn2
AyDYElM7T7BeRE844uS+kaBZpjG8aSAApwO0QIszafC0THawjcMAPTWSzE74Gqar8H4+U+YNm2wY
xtU8RoQVbzzGd7LaRnUCpLipn1W7am16plzPI+R+ebXBb3kbVJpjtEKiZ7GlUflY+JcoDQ6uYCJf
Ih0QjBSFP+xSNp+nCXx+AnXLZ1KncXq49RcNgDQPVPVDl09ZO4jrnC6BijIAnkbqWCfqFbiBsasK
/E3oqkhmW0hHgK/7QvoRjwDO4Zvhiu7N0Ptf7byOTi6w4TDHtBsr5PwBQI/8wR4BhQU+CW/dOCJU
y95IFmBsya6kghgDGylsYCONLCtfWzFvtl4LNOE6fU27NN30I4/23LCKT+noYwEi01dEQNYrp8mt
I1hH+wejbb+ZpZ+8Ii4KSwnVmBc38JI7rE6dBTUop//RltK4Rn6enMa6SVd0AljGj+4Uzpi3wwVQ
fYCx7/GnoJOk/lNeeDbQV/t0mxadt625UXwB9fZyYJW/sdIaqaUe3DhGc+ziEr4HDWPgErNLvDcT
yZBjjVsGyyNbFH3EyqWPScw3A3WlVtOJ2pWDnf+WqqHhIZ4JxKvzUBWe4RI2movrafYIQoxo41sw
5FG1VBW7Q0rjbtZteuRngyog3/i1/QeNJgtpbEGyK5bYhZuPltHzh8w+UtssUciEyBDxNl+qazTq
gD0LqFamK7dT7K8AIoK0oRofTdhj3695sonGcNZt6Tp0zvjJ5ur9mjvHvUM4sZqveXocNsA2yNd0
1lQggn2UEp706QRTQdcNe3M3X9c/XTN16mvjb9ccJBUA++F3u2tUv+mMRGx15e0L+OaQg6YLBHYY
LZYWdDikukLYKnwiRSTFzqMW18iRrahS0LrNmg2SOmLhBmBtm+JCpjE6RFRv/Mj9nNghiKRJxgAv
Gp7ocJYWrcUWCLXzlZGswggfADt5jOsS+RwVUN6wBEkfkXeZPpYZGCk770oKCBqw1wypVGuqFiyx
HtCZFKkLGMDcVRd2akOy2oWzWEdLUKEO+7xNl+/dMG4dNojL0SVwt602fWSBaO4G09neNLJy0PiZ
Ot/RWHpsvDPuiGqXZVEcSY+6VkEPOjbW13uSqZ51p4HHL2M56r1rl+kKlt14y5teHFiisnPQV1ip
9ytfFXs3yUFvxVS2SMNi+B6Om1TJ+seQjn9gB219cnM4F+LKV4gJB/DdWHNsLK0muPY+cGRUa2Vf
LdOFrxidEDCLnU5jvcbCBhB/M2YPdOZ+yMUhjntnD2jAbeE6gBeyRnls4vC73Vkl3KQGwC0dV5wj
fDU2vAhMZNOBMntISm/JfMQ8GPW65ADmSBFl8eoG/4+y89qV24jW9BMRYA637Ny7w85BN4RlSyzm
HJ/+fKyW3RqPcTBzQ7AiO7KKa/1BvSChvaQ/idq4Ix9yDFBARHrxl9KFf1Y4u37ao5qszGEKXhr0
KdfYMKjQPuZf14bFXx7/dd2oC90n+BDQ5oQY3kEJQ3DWQBT8H9fDohs+X9GUW28qUTBH/XxbowGy
DlIsdPJeY8M99dofEPP8oNebL6+Bai9QjdurxDLePdM+Vtkya+1pK3fG6MgYe+2aRwm5HDmSWGQg
qukl8LTy6GAmvZEDsnw367H7DWpJikHO0ByA6buvs2c/yvbZjonpatVwESXhediN+J0vV8q8EKEv
03nlb9ceRlUk20qvg29Bvb0NNNx+o3dzcdRUIlyY/H3eXgioWV/J+eASHgjOOvmbVbFMCHDpWERd
/j67YtrrUMG3Wdt1X0k5+bKDYsDPw7sve0B8qXr2XMyn5KUaC/J2w67hMQQDcbJRwFzLBsVqth53
zY/ONcydi1TpTiSj8lGYfPPLNZG4q9azcFNSuCB+8Eiubh9XgbG6D94lfLYVHGqCxURYjqhjED8E
kr7a2Q5341zWe1xIpve5wGdl+aCTDF0FBDCzsz0rHhC8WPdnlqQ3klVv1YSDRwSeYF+ECbZht8Q3
2W8L7QTiWTapy0UIRjZoofOijJhzLqtprcTWc7kc3JS9XWXEykYun5HX0+D+KeyxuS2oZRbNuwLd
n5UcJHv1oHcntpNnWbLHzsN1Y2AZLgp9xzZXO8Kg8h1QMW+pqShPSVg+aEEffoxOwYcD2fMWi6xr
DZiTmo0b2WpnYbpWSN0dZPARJOnPtHTViywtM+qgKN7yZUbk6RBWJ35pVVz3b7J4KvCbhBRyAnvq
njqrZ3faV6O+H5zuqi8NcN0gkf3WrIzlnpu+fZjLGA87cFnuKbD0v08nYeOyM49/hdq3wQwR++76
jCCYZyQr4Yh25bJG7ipDNZMVdow7vXeNSwPf5HmuVXE2MvX6q3OukPAbu2x9K+vEC2FoVi1ON8tk
TY4PqRo/pZGXPpMaJ+AvvB+dndKmd2620duGn5m8UGMWf3Zlq21Aoqsb8M4GSlx2/JGGir3JFK/A
2IZiNSDJHoikPMniaOh7MGjsoorAesnnclNMefIRippMxmLqxUY6+cAtwd3VavCrNU7HZI1i03SQ
rb3q/GEWor7KoUq4mQ0VxkJalY8EX97kdbLcrI7yRWXL/FDG//tFydaM6KN8UQoKn2wWkmoXTLN6
kijPG95zKeYkwP2AJ5mbWIDscpMR+A0ZGioBAfalkyPFBO4T3TrJOaOlk5Vl87pqww2P9CtgSfEL
OJD5zQDtnrSwg2VJHQq2aKixy5KrGQdjVpNbKS2nkxEWw6NsC1rvil6Xe5UlPVRfKqQlbyVQlR/d
6GgX2ZaH2XdNWNFNNVzFYZ7ciDmcb5dQ69TnvxGcpDY4Aqu1n3sTgJDlxQVdgWaBlroPsjVnnfe1
zCRPI1vxf+c/lYK07UL1zXa8dJWp59aukwOpseJ1tp14lyiqtpbFMFXbs1sHn45qR/yK8SkNJ9TG
ZKPacqnCaLxj3ijF65j0xTaPCdHL1iEwslMzcUe7jW3RSXHTV9k1y5EqJ1DPxn25qOiGfoPjQ0r2
nYk8FBiOoP/TemguqYG1QJpk2pr8enOxKnx+AeVwGgswFhOODdtbZSU8mqpGe4yz3jwQepiwhFvm
UAGCZEb2WQ/iMM5g1BFHzF80b8guVSQuqqIpBWDRmQc2zcBOaGm1oqZ9CCYQZ0FWFS+yDqOrb1am
A8RaqiJvwDR+eRCa5ASTBmtBLxruvowfNaBTgcDcURblCL3ciqRXn2WNJtjrTVaabGWbmJLhkTDI
rbvsMYwYXnclkSRZdAl7ItzfP8/O+A2pnPYkq1sFWCM/0P4oi2FTmTCNoAvIojwMtf5qtGl6llfy
ZugVEasXlCVeqDyo1hrvjTU/lPRxMEd1Y6hdv+FOU23ztnDWcmBfaMrz8OP2bpvKm9cTZHNgecwy
x4Z+TdJ4p4spf5HdrZzErK7O+q+X74Ymz0DWh5fgN7WCLwofP1zh7ISyt2MYj4mzILMV93ivkmfJ
6GxB8o1nWbpVYbhB2nAcdxBqfw1H598AOj71K5QODqIcnU1qwnOYQME+9rGb3Q5B4y6GC8HR6wpk
ZrIGubtxzH/1M7xu2HYOxn6eKKP1kITamXx2ewYJmK2TMRV/BgcZZr63q2b/v7bL8SzNGQ9/abEl
y+WsK1JED10LN1+6o9+LUkTnXoQ6hPzM0hmaIp3Zfr/dW+XYBljmuvbU8eCSwbo2hvZTpoRtVyDR
Vtf2TqaE2bWdJ4wInlt2obJXEDtv04BecZgN3vbmoaRrb30XtU+e6VVPqZG+SyRMGYfu1ilLb9ux
dJKS9ScbWiUk42J319lKlTo7CR5bkiQSJSigv7tIja1kFNUaKZxxMw1FMvmOlz+iexgfJEDqVidh
UvbYNuubuRue3wBEyhEFdFt1+dAQUhazCWQ3hziD7p/xJluxGMPgGF+HNBnC7RgSpyuVATVNTS/U
s0i8jUZ27NFYDhPqF49hVn6f9Do5ypKsdzv911BZJw+qrYzriYe2q2WgdRwhTv0wOU3/aiVds2kr
0WyHpWgqmnOw4zBaydbCjL1rVZtH2Siryr5fe4aqPckSfjnI805Z8YAH+++zqdo2Cmv7Cafs9llJ
zp2eD0/aYn8+ZKTQvaBVfdkm6+xQwcYqGggILf1lnZec27rTT32cXe4D7WlUfVn810Ajt0iLMwg+
2ECYYv51JTkgzvJgX+ium15y9gmILmiEsEJnryi5/pAHg/1/nbHD32pOAPqrJXpEJI0oxcJCAB4w
VL11kqVuVKwHjDH+kCV5API/rWKczndGNiDU3bvhc088dRkspwmiVln+3dG6bxJUt5cZW2FZp2FQ
xLMtAEmlOR6Q87su31KMrPXaFLaLBCofnzzEdf2QGoZylqVpgEc7Dtq7LNXO0J/qwp13KZmzUxQK
HCWXQ/LPmRV53a5Nqi/ZI9WqXz1kcUrTlWWWMbaEZosELSSgGcta30Mt+zJUqXdVl4ZsaShMwKwI
wkLTLwbvCtn41wjYrj/nUoeuY6WHfoEoGNpsPpmoX85685wtMAWHW/u+KQmjyA6ybljEgBSwsLdB
TaGYT463zZ2zbY0rO9EjwNK5eZGHwRuxYcNDd9tjqMQDPQ3CXYDO09Jiwl8cDUJqsp9sBVz42uPK
tpfKWrlnY4liuw9SWMvT0Nj3ZYMsL61KEP4J5hP+vcBLKPcG/eV+FiqTWJdLnRLSaibe7633fmNh
nTC7+S6GofoiOEs6hK//Qt5Vf67IRsr6Gg96wmZNuVfHqPoSPCZlY2m/9x0bHiQ4eeRe6u/Dc1xq
Hmqg2Y+tjmLNjI/TBw8SCKAvZ/VSJ89knWyV/Ya+Fv9udb3h19iiDuqVNwh9p8wGJLlWIJKEEv8R
AMpGVt3r5Vlht+G5c81m51nJ/GqmwVnBpOOv5QTI5CBPMIW/1Tg1Tr43K/KAb6KLO3FUau0xDXiG
iOQ3J08bb8asx50GAiR8p/ZykA3GrIuj9/cIl3d6uVGBHIxbwHgY81ovxnY3uJX2ylep7IY0zNey
mDYgjS3CNr4sNmPCYxo7hbCO9G5lKPp2GOIY7BBDPRCOfsU/70FpDe1VTlzHFYHVpShsJvZyYu0B
EV50gif3EYGxTSn08eIt5KBkxCJUtcJ1D+uJVHbQmsYHimFIGiZZudK81PxQ7JxorZJX8Nwq46Mu
m6/JMtLHkPjn638MUrRJXeeFbp9zbLUVJU7YK63DENQl/5h1JE+Gec2KZe9tw7a2maLnuwmMN/Fx
Fl9ZNBqTJ6tl8ZXFFj/V1ZyJ6mmaUvOop56yQgZq+lQRTVr1nZWdCLn0H2DSchPPBNlLlKYC3cwb
Pz0X0V4En7KT0Suylxz8X70MBS5IrtmCaEjSf5jKWc5Qtt2vy8rivy5LryYdim2lDNqa/GF2uR9i
Az24Uj3fazKNddwHk7Wqa6s8yQbcRfIL5PfupCLs+5ln/JdZZ95wCbP32VRZ24TM52dfN+t0wSzF
DiYGYdm6pxgl2OvYY3l+AzMxMqjj5C2t2l8jtSC7jZQd0n9GVnpm3EZKtBMWk09T0e4jvCr+aPLd
iGDVzxonSr8qe/vNQqVjU/RDdK4rJXmolVHfepZdvBBpIbfl9Oaf3dz5clRSTF+dmKOPlmD8GlSZ
uAiT1KpmEb+DBJs8x00gVmGWVt+jwUXlgcxZErCiKmXzOUdehWZLI67IRfYHty6+2PRn62o0iUVh
vITe0+R+Y8MJpraLfi5GJwmst68805xVUFjRo9YG+t51E3tfGBpJIvD32PQO45dpF9jYsLZqSvDV
sSB0muVdgkorXnsoBKsSj5C95hXFq0qqCrqnN69KU5SvwzSo1xa3RP53xavsYY3uPpyn9FFW2bXX
rGLXFQfZfw57a1dlWrqWrQTx2wvyaE/yUrLKFeMaq53uSZZaYXjwjfAxkXNHUa1sbTyVkYblxdih
UQCCLb/JvmOR1ZcssmB8R4qBmU6UvRK6uvRpXnwzIjDSJpI+x9p1wdbOkDoarfg2BRNqnp3JjwIv
j89S/S67KxrYpNFlYy+L6DI4RTt8FUZX7XHWa7ayGh/TdWvGGVyKTD8Uuqg2ctJesY4Ff8ZXO2+h
5BnmAQxZ8pwUJr49JuDuxunxpyr6gKWwYq0mmvxctqCMxNRD8sqHZGWHdbdHxUshQbqU/x8H36Za
rvafE2ghLqBxW6C+sig2tDD70bN4izXEyDqttHxZn2vjvC7Dwbh1q/Pxt26tm/7ezWazdFDZJ5+n
SFqCk0T8K0paz28cDb+EdjY/VJx3c/Sg31XVE1fbroQ/LzdR9gf9zoObsZFFu7LIwxMoOMliYLz1
od2+C6M2L2MWJqQxmay3LcjEHRKHce/b5Pz/hM2+VvWc4ATApodY87xvpoGbHNaJ6jNiLf12TFrl
IfCq7gFyt7s1olJ5iicE3wQc729W3110OX5OkIEaovqvMseiYnTaAYVWvIfLwMsvTjl1B2Ssp30c
NO01mxRUhbEieSdB9COLe/EzVPeWbvA6Kk1/c1N3xI2G/56ykMziuNJ2MAO6Yytm3Fr73NpEaH++
qsuNgqf38btiN2hZExPDL7LfJ4Ya7CelDtdtoxtvedS6+7IiCCGLE5CyfaIk8a2Iyamx170muRWH
kH9phvXZWi1i8y1VR7LlRp6zvlJsrXikaBe3zg7p6n2FkeKt1a7Ddu8QEbqNFYXDPi8VWA0uY0ub
7Ekzadg/Lq8Kek+GbZzS31ozCyJp56qoUC6tnldG+1BTpltr6gXKLuw19dY6p3GwI8UOGWOZuXZI
hGAJbtxaLQ2nZ0tHcFxOJSLV2KktOqqyyNqm7eauQbZgGZuPw7zTrQDTlOW6Wq+PO+zboGpNzaFx
y3YfTPkb3kPj6MOybM7ywNf76yw2rk4zj6d/95DdBJRXn0ReupPFpsRkOBcWpkmLfWRm6u7Zm1tw
RmVwZfE1HMRR7GhbhYifykrZTx7CIv7uRCBLZUk22gr6k102bONl/L1rnBKLSmNyYfc6edbq6que
Y2l6n7vBmfXBFdaxiQJWPNktiOHcVmjlrOXEWsbNx49gj2ewrB/uFwsK7EcqpXhMeCD/7fpQOBpE
jvJ4I/veL+boycFym/J0r+9CJTuiXf0ur3yfO8p1d0VgTLvN4bwEjgZVdLFbkQclwmlFeLhkTwur
7O/qNBVW68uyjlXGP6cWqTT0W5AcMJRsrQKwON1OZde2TBVftPjxyZb/Zbo2jXZ6EJJaWC45LfPY
YcdTkSybk+IiMeLpGy122Zuhg+sNmneoQn7lsmhbicNzkyjOquWF7zUebrJeG13jUNUq21jAV59a
AxXMboA7g3I23zKiAbI+ybzxMIsRcqCcHFseciTgComBsKHVSAXIQ9nG3qleDrLYtla1VQOI4rJu
qCqS1OT4S1/VVZPIVOycY6d1zknarDvPmB9YhE1iY0uDHTj9hsAX60qSs8+WHWWLFmHbuPQWy9h7
vTzzAu3XMFm8ja1D62gWaK5+r9JmN026cgLSkLpmdpaHyYwQrFoO8kzWRSSM1uCg69W/GpAah4C4
jJWdY6XfTWpZHP9VL3vIoaTJg23Ndvl2xf+6mByr1d53AohLZI7QbzoE01Zd7BGn5QCu69ehlAaK
KbSSgx2qm1oW730GI1RXqqcMO71xYt/SrAhD6To8OGWW7gYRpu9RkDxJSsncBDE/i/b3Hh5g9P+9
R6BU7XqaW+RhPRREva4leNWG+UlXnY1p4LV7r3LSGHGEe/k+otaTbm8U1Rl6THaS9bfOzqQ66z7D
0c7quvYRrXmYLSaOHSOxE490X+3ssaUq/Gqy2sdbZZk3OwB9i5ArdcVyaOo02vCMra7lNLcGzcE/
JkFNe1YXG6fF22lUJnWVpkG3utfFrnCcW7mQ3k33Jk1DTtWXI2Xlb+2y3DRoYfxruv/sOC6vQLbI
g5zR1txfdfci/zoWdtnHzSscYbYJBLS1R8Zl9MtwKs8jboxkdopKfajgpqiGoChbuqDRu3XY1nAr
+Za3stKu7cUUZDLidVKjfWoMzXMVqdxL9Mg5uF5CuGSokyfd/ZRtsgbEabx3iDyu7nW2hY9HlMOm
0xKrfhZgBZ6LZ9ldHlLDY9uuus7tGrLOFGqMaIho9nrhDnstU8HAZFl6JhiXnhtiH3uBCkQVFNrA
b9flKFtkH7CcLXjsHh3npbdsgDupbYveQDIsS/VjYSV98xpkGP5aFVZ4nhu+ZFY0fmkZmPXaylry
0BWmdGkIQCJvpuNUQapn4xg+IqSJQaMCAzPh0dkfMnP6C6L9ChLKEPppN4A1MjwwSyaCAmnUvSoB
SbzeqJHucJDeVtMkPijLvgvuUrExxml8LRvA5JGNsr7mJofbTBidElwJEHzs+PulWX4J5gwR1bZ8
MCydPK4zpSXZob/L8kwemqgp9mZjIPYUhmf7nwOhNbjvI7e1LHL1neo2X7LxXv+vvvNYiQXb9p9z
3IeKxO2PePJt5Nz3enl2r5tLNzpFyGYvr+BfV7rXyReTzEgvu7gQ/tPVzc1oV9k5Qluh1ZwRhsWo
3gmN7ehmzaaOZ/D72ZPnQORUitZ9LXP9scR+6aqSSH1tOm32Z6dNH/oh817noGvWxF0cPgNazWaw
twbb/42+FL3FS3dWgODImeK+1vCNEX/IRgupoOeAvwt77lOdWCU2bCF/dbzXOQaLnC0ZKLAMsixP
kUkfjiBaF97H6L1lAT7f6ThcZAkq50uWq8P1VhImgS13fLyVbGefzYX6JEteQoTERjcgN5wP8OfQ
hod2vsqDDhB2kweGCkSBurwyfzXUICqxXHHdTatanQ3Df2lBVMUPuUPt7zNU6ARc41Ds8jTCjP6f
mSHHe5vcAH3pYcIJ3SkzN2iP2Y8toJtHs3Di/WQ6MMv6EmjJcjCIipwzrOf1gKcRdqXUdUa4M+p5
ZHtKSfaNI1P3azuCro69z2OHaVKsjCc1moZ1RmTrOyo8lWZ/r1HaW6tJpp8MpXQuU09aTTZUsM3x
7VS/+sGCwzm3PyBkubupaYtjhlkDIoD30xh49pG0bjOv4lAvjq1m4901KsEBSwdizhAqbasuX0UP
DJwVvj4Q3CtfMzY4uxor7LVszSAXnusheycYnbarbph9t4ua53JJqqIyM/uWg4tjH3qYAsCQwlak
y9VjowXz7ZDkw+/F78psZwj9KuEDUSF4KctZMBfit6Js+FdduvQr3RwLWjlEm9sN9xZrXwMHGoUg
4zFlYuMItYYVG8VPmlXDhKma6nvT26/eqBqvSTea+8Qxg21a9sGHAo1gBErzvZqRHM37qb3Eamac
R7Kdq6oe8+sYCbXZhSFMtByUF3oYQ3DQmgSvyEYPHvXlwFNTdRkWIltMuH8DBpZNejPgGkOj7MYS
/YPwdXyUc8iDsCNA4OEWWiq4NGHOeJsjZWga0zejLFHaJJGOK1QX76IeRHjQW+ISo+NwKSqB5msT
2EQiKN4bxFLMzBbok4EJ071Bsa3qrADcdKoc5dy8cT6NMEBrWdTOgw2x+GPovttLdYAH1KFbgoNk
CSofBHO41+C6ooA1KLij2soJ8rC5GcKMxM/SIOtkq6XxmItYO32Aw1YrNAh9JZudq9eCEHcdM/qu
TulzU1XKawm0a9/Mpr5Nq1z5zC1lJTtMOGyvuyoxT3JkkAPVkdYr2Iw8Z5pKfveXFURrpax2iXGN
bUu/EpEctmGm4CDyT508q2NRrZZwxnbyph4OIU9G/TS6/DAZKw9WneoXr3iVBaPgBuFngP4OY+H8
5dRTl2zYd6cbEwbf+j6qWsaHRtn7zRQ4O9kgX0oA9gELnxCR+cUV24GKr3SNeJ/wfL/2pRb6JPQJ
ONfztHOqxtnIbm5AisA2PdbdpfX/e5TVR9Vbh/mSYuj9I+JE/SNsBKQ+DHySySSd7vVdlJMonmeX
x0G6yYYkVdUTIdaDHCTreb+IPrTDEuJyjCvZbiLsg2t/qJb6KUV1Ym+H7oDzQwkb5Ps1t3x3GsVe
9x74OiMU7aHBMWoPMsu4WmXzazSf6Cfo4Z9G2P1guvB80/mTCoDOIk0jLFycogBDz7s0oGxo+/Ga
p4m61lMNMHDjnicNVTWpSBX3+i5UI/csS7J+qZK9vFkEu1viV88LAH+mLV7KSQ+elOwZkDCUl+Uw
Y8m0jqsx2soicNHFRrmadlU8I2zpdqdGa6erNWcIWZJ1X0Gpmg+yMXLGaYsLc76Rrfjdjg9Zjg+P
bK0zFL0mcFyyUVbBtABqa05XWbICYgxBcwp4vMn19eI3nS52Gj2A0nUKIH0li3e/6pvRjSyPS5+m
UtqV9LRWHXeEG61NL66LbKeuYGTKlnd+UWD18DAxvk1LSVapuv6OTGx6lv0bfrI7bOJZdZYeLjCi
p16YBPCZzINMgcgGSDEdGx09umCPxRZw5O5Tpk+TarN7NKMzeSl1zQsanpC109nY+tw3n8a6LwFX
6slqyib89pQel4DuM2wt7zE52txsnhy43ek0kW1NM2dnEl3fuo5nb80i/SzjUgGkbysrQXpyTzr2
gBBw9OQF3Nw1OIrfXALdZotCs6abBhoX5niRZ4oF3KgqEXDUbb7WWBky7NvLRfTYWxF/YpUmFEvk
jCV5UAPcjpvAXLuFThQ3WZDke2d8mrxlR+Qh7RtyfSQwpuJo6PW8etMjWN7IZxz5/48+MLY/CyT2
nkvVCA+hm315ffiHiENvF0Sat08ChdgWj8OskhG/ovnNiqZ0Zy9oBrcZD3Fd8l7Rz3EjbIpNy5+Q
k3osYSJuBbIHSQD6vNJeO0P75mm666sgwtZmFxDtVBy/NkgQqRPAnyHsVv3Av4coQY7nVIttF5oh
6qPnqcifkyf09VlAACIRsQH07EA8LcdmTaZjMwwd67Kaxg8jsEVfFO25IxwfErH/K7FyJGYro92E
hVZty1bJ/MEEYKqn/QpdSYBO0Zdmd/MfbdXt8C88NLN1NcpaffAasK0sTv3Gi+rc16LpZ9D9Ueeo
L/Ps+wMpbD6L5guVwV3s5R99BphELzuouMWzDlrNH2rM5XXlI8yTlVVXLCtVi/2YMP9I8090v7YG
n0zuYZo3Os0PlW3C2jLfYQNURyDHPJ1g9uKbcU/IQFGGlT7nKQAr65se6TOAb/aUXlSIFR2+IJNu
ypwFdsowm6rK5BLZIKvnkLydleBRMBbdDrToH8qQ569d8LNCQncHCe1NITrKPmG+lCMBpCxaBKfG
lMVjdtaqpl/AY/JO5gpVJsILQCSHH2kc1hdtMjBDS1+7vtfeDOfYg6BcKYF41eCFrAuUDdYj9wAi
nuYBe/GLOY/HQqg4cSXZZWjxfNKgyGzmhC+DRG+/i8CTHqPw4FXtxtExTwyKGoscc3jqtKhm89lW
u8hGdLDvu0egH2uzngZQyOZRK1zFV6MoA2nXvThzQcJyKuZ1F+T1UcTDoe7A5iK1RGoW+LrSqfth
gGNWmDnAV3BdyNaT7Y8cLFRK0kRth1tcjytDFNgX1wHmjGuO6Cp713YR2pmRurJBQAqkF/bzDI/B
xALI14JcO/JY7q6GTmHrHtQHYti+WbUTKA71GHsCfnhVRfqmmqrm2CUIp1/laQXvLfV/a5t1lYq8
sPtdo3aHoiTQBTqSUXIWTTbfJgjxCIoD3c/GedhB9shhO5u1j9X7iI7G3ByFF+lbq1Ovql5WR4Dk
M/+wyMUuhefjdTMBMun06QdrlQ1NZvaeGrGoybMz8Fn9wqOtI66Qh6ugdPCgSt2/nvFz+opdHuAm
p4r8XP+u286LCDpfJ6d3COGqbpy4/7Ns+HqENz+Wpo2Ab4l2Mxn4Il9EsnvvWqdJhH4wxqu2eM2j
udqkHUDkuvuROWiWANR1kE0ty82sRO61r4NDNrvKS4DAbzBFD5rRveVWW2xRLvlq81TZOEHDl4ew
I+o//Vm1RU8Kn0S11hQvTdR/C2uzRckwsneJTUKlHLpt0Nf5itebPGTZuPMiPpCsRLNFz6z+XBV8
WFoqXrOBvL5e8egSiF0SZ9uZgPLeFs0pywqkfZLibSjVlVi8YfCpxCYKzzQymsm2LYJTXaIqkfBn
VLX+sQy0z0h3CNU09YPK88aqm/t+A3PROiq6IojZJ+YhFYhc1G31U2hF4eNJbaj1T1R6Yn80Y6zJ
mxTD1PCpzQ1tj0JvHXbWGgXkwmle1FS8V6Ya+Z4x8ujrZpfIscNtbQzoC4dgU2svO+gam4TETT7b
2pv9LnGnldOcyjb1XXuyfeHlGL5npbstSPdcOiCLddi0l9zqiOYiR4KYGjysVqhoUjbdGzH92Be9
9WkUIYwsQk5XoXr7IUXzxG2OhTL98Bz0ryzvyxoy7D+N4ZCTefIjQbqYxXlcTRZwvkL33BVh6HHP
k1dKdg01mzSrHuKh5R7sjuYW8wzd7xanTyPV3iF0j2BX65M5ud46Lnu8MxLIqWKIH+ShF1b8QHb0
Ic1qG+qwnQHj7V/cBIIFkSU/sxW/a+ufsWG9W8P0Z6235MAi8wQY+6GEhehMxBFN263W6CB8NJiN
bpw8fUVW3LqMLPd+W6f1vgyb7DGbwOEpUfckutk3uyzdZGzq1jrELESxYhy+tAEsbWavOg1n5UoX
BoJAbrKvMzc8YUsToPZjRA+zl1mHgJ3aUUSJdowHA4ZmlM8PRZwM+xwR5BPQcGOnCTGd+ygL2cxC
awUeU237AWNEck3apowT5zFrw2gT1ueqg9ZjCptkKgaQaGewJc4rfA4jxH9XCwpy1SYqeXMTSLwl
hPVqGx52gbOo3ppm3ys2fgN57L61JO1XtWN1qO1HaAx3wICMCUsmJPLVj7niyUmr+uJTqciJekk7
HkrLtNZQXhu/5Xb5OVowfSJ4LZ/QilvAyWAfwKni+tcJ45MFDGdFqFqfo911ePgKFW9NC/8M4iKf
IYIoPrf14ZN4Og9sSdV/al7Q+xkoqU/PQgrJmt36Myy4RaBjWH1CIRsR1UbiLVSMI4aD+gX9SY+A
hBOsZTEWs37JFVhEY/Q5t0m5gpdkgukO221ljiyypnmMbJ6Jg9DsLy0irpeG9/owuvUWwBnPyixA
69LLoFqmjnVmr01EyXtU5lp5bRM+ssFc9TavEomhBCnvcUAjGVGYLjSWKChqPkCjgP2GOOjZo6mt
bCDjW1VVGoxTmj/cPiXFjDYIHP/ihZzOtO3RE1mDFLJXuGEZfq8Z6bWyBsefRGJsEkLAvmH1O71I
PDzJ42E7l5c+qaZ918TBZea9KLF9ArP4lkaBeCSQ2vloUrFk1Yp6RQodRb98frTNiQW7qKcVgQTQ
dSh3k5jiSVbt424FmaHdGosJapfHKxjxydUeuuLgzTitIu2IB0s5fyu6Ap+RYt5VuPJtptJ7Bxy8
7uohhvjC/z+YQfxOlSt4KzbYEAyH2xm0tmNvgiQK/SAl0NrU6OAITrdxDGVIBGh8aUP6aCvJRV9u
3WFK4MrOunrdoR2qoMPGwi0gPhAQQIs1sFadlzm+mhUkIlke2jiwn4fSI6huZdumM0p/KAhqFF7o
rhMM4PyGzPKmiUp7Pbl1f0Sowz7HQov50c3gFhrCZZrJDTVnC311iviUGxUgXeM0IU236a0pfoDb
Ue3Y+Fu8siu6adVeQzFDKE3w0PJXRRyq/NN05g4jNmHte6RooigmhDw52qZtg2JXhCJdmfFbY2vV
YziNuk9E7dv/sHVey43r2Bp+IlYxh1tRWbJsWbZ7975hddoAc45Pfz7CM+OpqXODIkCKliURWFjr
D8zeVJhHOZ8LZzPMQ7WJW6E9u1Xb3yZ30jYF5fqnVo4yRLOZf1wPzjHWG0VJmiftmhey3YAbeoA/
ZYMCZeFgoO0ZBsr0aF5uEKX1dSO9QW/c85OYbl1LtREbxeAsIh/H1Nx/Qsj9MAgt2wy+/myT0NlZ
7jxvjE47d0H5LqXrXYtO+9NMfFGTY1hPdlUXu3ZOf7cW+J0GUXGcc17Kvkmu2TBOGy2Zvc2Ey0DH
uo8qBMuK7uZnjLyj3RzhHiQHmNJ9FGG6hnSH9LQ/9mSPFzsCvjVVcRj3kxO2kt9JX5n5WZMDFFCL
xOg8lSd/HnAG8cv6iubYTW/YUllARSwsEU0sNwDLEpHJ3L00U4Cjy0TwZDRDe4Bku4snDcpaLZdj
7mQt0MrqrWvLu6YDeENguz14bfvdkJkZWo1h84RlPHyB/bz0Eyy5RZx8gWvRmhPthzjdIQdNBC+M
eauz+6iCWJ7hKOlUr5a/29YCK0dYsOWhgEOBz3q4TBPuQ33wPYsKe9N5A7kOZJqmDG3o1n2mVDrd
JkCGaBa1+8wXHx5iNbspMHEzldlumYTLZnjgAxoGuXdFpO+kl31gCDRta1JmOyRX9V0WgyYsNYHQ
illdiwk9rDZiicpd29p4SMLttWTwwi5PulBG8YEcXHZOkd51ddO9EONfMbvskDFPXizD0A4VD9Im
ml8yABxjnsh7y35WOBSaLZ+6iYRX0tUtO1a9MYn02dlVlpgOeeUa2wSAzUb6yMkmz0JODuFNO4Q5
CMmt46X3OJAX1/GbXYdELnXrXN8P0PGOi6cHMH4ROWEOh0ozpPm+R/h96d0SOa8ELwb01PfRrO9a
z2820JWzfRQ4zCSRFDtUnr4b6O7s6r4dH0ZOWiiHfVObJlZfQYBnqYXwVx0l0xbzxwdflU+Oxf9B
+jPbSw2ni9naehkYGUFSDrS+1+Bo0iBoZ0Y5MJ9JfsTkZ+C5hhrYQEDtXRMOhBT72kHBvEYJAnR4
2b3WGRQui0JgQM2/mUDQZ5M9b3QiabvHGoz55ycyC+NFJtldi+olHHQjepKt9d21qcMvQ3VO+lSe
ipnp2taAc5VUMyrv4rHLhHp6wXt3a+BCF9a1gSJSGUGdi8Appe25MwtAXlOGpqOoNxECqwddY88y
1E7z2TgLKAi7zLFGcp17FKTLHo4mZhgphNR+0dipT3kCECCoT1he9udplMNZHX01wrX7c54AnYJT
w0rtkW4H336Yi8w/8OVWZyvTq7NLvmvfLeVtRuz3jCTSck5yNm0BvKRQ3c3vKAb02XSoKTAiQ3Mh
e+FvSPXfpBE057QuPho/J4FS2GNzXOKcLXIAq9nPZmSJ+/k8Wj1a5l6LF65r5PnGcVBnMQv7NGir
IV51mOalOLOKFGyCpmjn9OWHG4MK6AZRcn9SLS0+u7ldhlpcxuyl/OisGsJX4tA4vTmk3feRpjfn
pW/QyxqdQ8N0eG70FOxiTFi6qZvyLUm7X21X9J+flTpSH1O8OGifz9Hio/zSy0O0ulGqfYY68tfu
as3H971tqmLiTdO4UzSeXfEOqaliotsZSP2zu6AqG3jJh1WIwghbvU5PXbdQcF+2xpjeDS1IcLPn
H6P45iBDiRIEEXzbRlHIJLW+gfp5KNtbqjFdIKEbxukc5ZtYj6LDktXHsa0RVihwRUzi09jBS9QI
1oDBTtZZvQPEPKgLe8s7ZbsKvwrLX0J12BpxxfY3sjZxB4gSqRDo329lEbC1Gm3yNRhSnQE6mGcJ
xzysPHhs9U9/yX6Sd/H5ZCM05AbT8dkd08cDCxvUWJ7Ud1WZU3lu1kZ1VWMj5sHPfP0q/7/TEUb0
/3X16AXtfh4lycXiYFRjiNnydzYnfdjaqMLtXM1GYKRIj0OdBxR1uEBU+H+XfoJY+rxpggZ8pvRq
IHc0A4i//fxb4ilBBXAytO4aZX18yrQcOffnHpvAfR8P9yKqrinzwBmVbBzSqvwHcnKCRHkLTavH
Y3Yxn1u04UmHa/7OSxttAzCacoJIlteozgvm7iXfG6O4e1TFovyB7/p7o/vWYVjTBLrj5OdJIBPZ
NOZlNrC2OUBE8B59wzMcDD54ybx8CxQNEvuBQkCkHMaTVropj44/3+SMIJvjaS1RE3nGAPGGesjO
kS7R5e40wirIWBc+mhNaMJqzWag6b7QJkJZvmZs0EPYDxaOiqtJzUC6/+bLxpwG0erLHAm9NM+m2
MSUyc+yC2ygX60BSuYI1FiZsIbZO05bPeg6pcWAbFcqsSjZ9JspnJ6HijJAVov3FAaL9sqUKE3AV
gs/WhLItHjemv6R/gfpvLlGR2CGWyMW21Zb6miKcYRml9lExze69qfFPGb5Ed7wzqUk7S/drSuXB
Wzq85zv74XmyPPAIFMeIPPpHWUQoJiTajz6yqxB52gHEqMxums6+pw2GXZXF8oeo4ncySSEO3Pb3
Qcg7gqjen1yST2NdMAvNfc4iwpdCJPWm0bFts1v3J5l5n1wAc5Snd/2RZMkrpUE4Ln0N0YpsybYU
bXoyUZzferm9HFExXQ4LpYMtKE1ru2hduyN83JbVmBz0es13BGSkCjKtnezdG0B/7Arl8FrAJ7GS
Mv4eaZULE5xigvlIK71cySvxTrfc5bUd9e9da/xVjF2NOjmESar91GHwakn8JEAHaCy2aC6nd5mk
OeTWdGaS2nVznl3qvBovzpq9m4H6jlZTH4Oh0d6xvt7JwCKlCmNvG/XZbhKJeAcp+FNiNPVkN6b2
ZumOhn2GPu78PgfZ6JTxPmsm/3tD/roJfLD1bTRfSHyKbWYjpzRQQT6iyL/1UXL/0QajFXqpZzyz
A7BOTRW3hxbu2SO2O1jvVML/NMgHO0Hyu8GQmHjasO5BmVWr94h9DKxB3q06IrWhyeJXVv1BViCm
RhpXm6Vxgwdo42gvYg/CcL3gsbWkyzMpht+z2Z2WWXaPse38e4+wRVyAZ8ZoujmgBM50pOrfGW/2
rGreKbW0bPPV/zytrlSDqq8adfnXq7/G/t9bqNPuEql5HrEy7STIfML+WE2NPw/LEbtj1VdHar0Z
Yp2LVP+/Dr/Of12uxlTzP2PqPmpsNrpia+nVtGFvl6H9VhQVi+p6qHuEMKRT/z1qDTYBwXo+04Ds
7vBj+1f/86WfrZwpA2qOtheprM+qqdZldrRLxMdU327nf/dRryaKHJJrOZvi1TF0Hgc/t0JAROJV
jVW5y+ye2ONBjalGh5uux2N0/RzK3fRFMI19vajDufFko+b/OaZOFO3SUN9ZtY7Xm3+OJVq7MYxB
P32NseMMEbO3nks7M3axX4mDUyE1Xmq1c9MrW79FeRCz9E3dj8Y3PnKAyA9T16bzEsl852JAdC/n
he2TmDdIvJXfYxAXhwQDyCOFEVjLsBMx2dsaZjBshyYjlxIVT245tFc7yQ4+a+wFJ09CpCXNTjDH
Dilb/kuBZOsBcZf3osm8G/RDfaex7WJaEe7T2E0JEb7+lE7dGTGU/IJ7r8RSByA3KKplZwWGi+lJ
jn5cufyQHrKTfNDBg4T+U9E1+nf01oqtHN1ipy/GC+Xmni1mj0xjmU5hi7rhwW5KKj06gkyGCVGO
0HubDoP+XnsjgNEuXdkUZJIy/KGwoBLWX0n122r7lp0ygMZeOB/LaFfbHO7caxYjUlBN5U9y+fNF
DTXC7G9Blp9UTzUQhcW+hfq9Vdersa433wNnaK6qN8TlQoVpeuq6OQCn1sltmafjayGjAhpsPO40
MY6vaiwuCXYBR91UL8CV8xLX+R9kaP51wTIhVU1WEgzKeg/V5OY/8ejIu7pNUC3xSce6cPN1wdBj
92BrTXZSYzXP7bXTolvQUsOfyy16ieLFWHIdE8903nu+WNMTTNtqTDjxPS+ooKohpxxA3WblLzWv
q6F4XOZQrwzzoLrJ3JavM1nxzzsUWGCbAJUU5lWBXIGDviRV4h2TlvkVyZZ/g24/L2kX4nMj+vY1
/r/XkeIvgENa5l7d7+vCwYgfE9U4djb5GKLgVD4hGWifrGnVz6njaaPGVDOUevnUrY1INOCc5rys
mk9Qc/5z4utiI128Y2XqL19D6mjOovLpa8xP8j960BD9NHGw8Zs2eSpNSsYSs97Po68xV+sAETTB
WV2hUWH6vKwQdXbUTMAwnYnqeFLZmKHoefcuSATtImKGveoassxxQ+jhXXtO+y6jaAX5rLnC9eJ4
lPkxkRJQ9dodZV/hGAzOBKkm9l7SfbeCDHxbaZNhXrs2RfWj2YLc78befZ+KZjxKjYhNnc2mNj12
TTVvhQ1Xfuhc7xw1BCVuSnZO1wyJSFrmvnlDwRYskB+q5+RG+ljrBKoX+5H7ZtkOKkldfldDZS+I
JvJquaouiCk7xMPxe43Ow9ac6uDNiQcNSbBY2zlB4L8ZhEZHvSCoU90SqRf01why1MUW08ULDIaL
OhmB6Hj7ZvKzHsJxtniuqupFX2+adoS7XRAUV3UhtsTEdHOPMxLGhRs1NrLy7GSLClXA/j6IqwES
DUvepBY2tTb5pheR7lzLON0AXSS0XHM5elm7l96Qgf0U8aFALeRNjPeqavJ9oGEMnY2r7uXoPkgS
OBR/jX5Xgsp619KB7FSmf+tFyuo+F/m7Y0wzcT6zHKYxGbG45V2WGLozOqLZ+6BNFFuC6AM5aCw4
JsSfg94+qF5djc2bZ52YHeOdi5elByro7JlmAH0rRYq6iOR7O5HJympKUtBozKNRCC+U1ATWLJ8X
DiBddnFm93vSWGtuzCeczx9zbxWhbebiGJhbxEf9F3f1g1GNmR0tW3u2iuZbb2pY8fj1/MybRoaj
nMhXZ+xdNAtaZELxOBRuBdXQREMQ1azyR1cML1FU6284GSrEzaaxg+iRk9dKa2J1Xav5fGYDdNHa
qCO5xhhuaT+JQmSfQ8YUxWfNGl6TNvtVub51bLGxuEkHfbiZEPeS1/lfxN7tL9+Wt2HKjT/YbOzT
oHXYLD2387IhIC+oYXcdcAkn3QSIK38TK/5aFs1G4I3xbiftKQbI+8vIEYbTXjJsTF5Nt7ygzFvs
S4M8baElxc4fk4qid/yNoK8+DD5EBtkFEn36tHuxh7IhEeDGvxr5QxeLewhaY0XnF/521skRFoks
Mc72SdrqIGPdxbwvyVi8jX2ysgszeVbdrEZvFNDEFea9+xL1M3WofqzhaljTS9zYK78safeggpNj
W6MR4mjFEbsnTBwytzmS9Gt29korZ2duvRL68+cXapAUKLaAoHaJRqGfola2ScwuJnnjbmzzjuvg
q1iYgSym2r2IzBK37wLUl2ZU76bXoVmbF3eH3dr7sPjGvWvNvTqH9Glw6fHQ3kzu757J+d2WXvDI
K+T5sch4HxxrxkUbE+b13IQQHLlmXE3Xno7e4ms9kLlfewPF4tcCJ17VQw+4em2DdC+jynnvyhqz
3SI/qHN94Oh3L2qOn73Kru/duJxsPdWRtTCPaZ0tt3xtOn28LElnkq6hV/XtsB98zUXLyHRvk2l4
7HnnfENGB80ANWitZxKHNWae80tuNu5NHw3ORnO37Ow4HhCsXfvqlGooYGLzNNxU5/NWed06FFVL
0qj5KI/jkJOWbCWGab7TSAhDKIepbrn+AYoALq9eYc9ULYAT0Z06k6sXX19OvZzfPrvqjNFUwzl2
0lueDX/ZZVKecjJet2Go/9WggOnt8JWrw/85MerB9GTyVr6u7SzPsDbtZNQbAORIi6x3iTuSQZOZ
IBhgR+LZSv1pLwfIlEami2eeJEgC7rDM19XDSI2p63ysgZ5V16/tFxh3ZBnW13+NL3WLfFHjaugy
ioZQLjK2co4kjFOaIukKAMZQLMesooi8jsU2sydCQAI4h9u95U7xXkW1vKleEMzRCq3EkXw9OXaJ
dtBGN2EjXfRvuluYTy6+HyBGOkAvXFEDS2Vz/FAd2VBjQq9+uaqu0QHlgIyXHVS3movkFI0ByOH1
lch45s/LGH/+YTXkOnMYN5l4VT0nH0mxjmiiqG6M9/vOtddE9Ppy6TrVGS6Gu1HdzPSclwYKruqp
99cJ85i5efOi3nu+4rwmJ9Hw01zf9wosmk2j2qluhbk8P80Ctxv13twcGaQEIai1p+4WR8NLVpHi
pbBMac0xCj3U6rY5uxQLSCTPNXO1XbZH3aUyJDD/fPemct4kQng/ABBfGo7wpON5ap3lH/IWHzOZ
0O9VD12Eorx84PPNUk9ouMGjs7qB4MiOVelG585a5CWKtPhIHbI4loh4Ppt58pEhz/a7m71Xe8av
3fOr30Veulgup9PZqDA19hPQN+R+4t8nCvEtGXw2Bobwk1s2FQlIHCEulEgPybS8uUthbZDjBL5R
Ze5Tt/Tlsslrg583T+qQ5c+q0Vw3eyYbikR29MND4TEcUhjo/lhTTxP1AOAK6DkcOh2NzR4WS9BN
F8Dyy6lp65/YZmonx8jnN6ev+dlNLwZ+8B/4rv0qFj+kQI9ydxXtpSv/1H2ePsdJjG5t5ml7aPr6
R+UkBkFrtzd8032X7oGSWPbNWpZxb2lxsvO17CK04Bfhun62m/iPHZc/+0nalHdq72iAGKXK5mOc
hdDY1CQZCkyQHwJppX+PFImy2fGBItUUKz0e7LSegq0pKS/VAAFey/JARj6h5IfpeVckmL+gTkyV
wPhWLyI4OgGVT4Dv2a6WyGPaHmClESx82w7R1fnbh/V9Gwvj1dLbM0T0ekMVSuz1koyYg9wliZeJ
fK9ObN541vM0/W3ieGLdy871j3PeI384AVBuQvKM2tHQqKvBaar3cOdN5EEi6/wLqId+y8iAbdFX
creFW6w+ssuJ5RGJTVd8r3O/eSwmizZD5rNH4R5wtyfJmNJo9iSvU5D8mgtMF6cR7VysFv9ZoMFU
nRngBija0Blkd6d4axyc2pFn4RRk5ePK34pCtz5Afv4cnaT6x0YFk1rQn7jva8jfkmR9WSEOMXb9
Rkek7oRz3/iql0b8UoNSUT3V1E5n7CHOkxxbr1BNVJkgXabgEkFWeUVGxQD2lxzBRuwSvBieB8PW
HzOl1V1gUutWXQchxVueoAW/nhxAFz5GCzL25A5XNWTBPjh4sVtvWz81HsFgdaA8ARCtPTVkWA6C
b12WntUL1tXnZLEyE7vEx9KIVrXPqn/MEZBWO67uqocnldhlfoSFznpyYmdDvbo7q15gGv0j1jIQ
Ah6S9GrMxCPkNASFC4uGF6iGoGTPo4G96PoC4WvzLq1THTQCVxBVJy+9SfVhPamtzTSS+NMgDZzU
FaS6x3NUogL1dUvhZ2fEV9PP95zHYxnGwfyYE9Ids2OYjzbCGq1o5DnLJStd2SX/uJ2LrjSx06sn
3dds/F3hiftGTjOcLWfCmqSw3qqp+iVThCbUOVK0eog4ZXAEMWq/uQZ+htoQjDt1bWGZ4lxjUxOq
s6NOpQf7decQ2S+s9xVgmGbOz4EkgoCKFr+qBnGUclenUblL/zNmznG+EXWAeLdrxq+zmEB5RQHa
3/Yhk7H18MveeqSLxqQPpuWkuokW9CdjAR6iLjFG13qwgM1eHn9eX7SUkSdUWo/u+vJaNHvg7hGC
6HDbaq33XlWTJi2zXTtOJ08k3muHNvptSjRo5iYAtNIWsKNxpDmoi8kIyjtacuxpoq4IQf22Oz6g
aQew+V/3a/p/ylyLdjD7AUZhm/IKl87E4q7tP7tqrLObbWOwnqkeJqblYakB2H12zYhXLfkhArjx
rIYma6Gc1yc6th61eKixeYnORsGDoXpNpw3HzmlKruCPqmZw5+cKcMjT5xAsSBytxmBjeUX84vk8
5h3aWe5s2htqu1SKrVG8qibQ5UEvreWmelPkt7e48Q+lmcVpuLRrFripvY06W8as8pljkjpr02T/
NWYF6Z9A11n0hqq9GzGssj8e3qJTq7+qht8RCh4D1eqvscge35tYn64o+uivg4iSa2O4f31dkLJP
QXmjbQ9fYz52Zd30edN2GBGsQEYodCZ3vppx8tJNQX5jDcxvlNDPAySIs+phlOnqG3UYZPLV6Ozu
9F9j6mVOW/5sukhsjarOAfkU3l01fkOW0IMQAEOdsUrXAOlSi2nGbQpH9dEkUfWI0or0WpDEBzWW
xwW5ygSIuSzKKpzrSN/w249O6mLbwqO1RKXYsoH/VDp2WBnT7E70cfNoluq1I1H4hN5r8yhTRG5t
qUWhDh0Ur4fx4vX2wAfASQl8akshFaSU4TYPfW6S5zbxT+qkGsJnzCB53wYnYx6r22xPF7eRA9/n
aL239lidg6npQQXNIn9qRLUrqp2mj9W2bb1mazhiAXgUtXtbs7ynIYWikQxRutqP7fBx+9ZaUQkf
frhG1fDkDALFdklNCl7Cz6hP9o5E8CB12OmURABBZdTHKXZ/L34Bgq056YOAOaFJMN36YG47YpCw
JfooAvyFzHyzgBIOp1iDSBqxmqtqH/gY2PU2GHRdG88gJt6NxosPggWBBLcOJB2Q8jCYF31Ba64z
NIviAuwkXztkk/nBvovJBvTCtrL0W95nJ8yotWvdV9Bjh9E/5QMEOMt6T9oxYfvns08G7ZkP0n8s
uWOcZyra5Ds6kolWucmLuYMztdEnnHRRJ6Z8O+MGEFRDuukW1kg2w0/6cDdkG7ysInwzJAZ3rm14
j8K62m2i7zWMUTZl/LEsyxsVoW3cGdW+dDv/MuS4wZAI4PCrmUcU4F2rviBa9g2ExYQLXTfsK0/i
42qa0W0ofnMbeUZuxdqg+zyGnm1RuS0145oTq+bOpN+tjDuPdb5cHARnhQQkkmtYLqYmnLw5PbbG
2JybPmp22EeO29bzxDXzm2Wrd+Y3MeEfAGKq34kFioa+VHcH+Me9Nu13LYnrY45a4xWZRHAlrCm7
rPW6a1WWZEnMEf7WEoWinocrQIJj3yDI2DVpWDTVIcin4FRYc73NiBvYWtlyY+GmFTZDf3TqFREo
emNnj266ByD8E6mmH6uZ6NGmSh7yaQ0hcLg+RJ2NDB6/G7fVgOulXXcxaNFJAK6FlgQ79t5itbdc
2Db6zzo1Z3h1dnMZARqctDXhYbV3FVEba1hNiMLPqKcOkkmEWYoUyYh47PR3M/8xuNoty+D5Io4S
Zskd9PI/i2/VZ+pvOith2qC5pp/nsjZebRgeNj97yr1uM6bgb7w6tAoZX/uiFmcxEWHkBs/vLPHl
yfoKub1x/fVWOSkrb0CTwovfMeolwEzJobp10xykO//0bd2/Tn7ahaQCO0kq9BPsgLcatSXXO4lB
4gghINMYBaZlZbNmSr5BBCjCMYl/t3mFS3ZsH1nLhxTECvJWzZ4P9J8mwyJmIg1P9QFTjq52XkiM
mJsEdNk2StpH4LdwzPwW9zfdKk+yYR5MNDtcxqENq56cQFO8oGmqX4c4Nq7d2ng2hpUeJMys2EhT
RDu7B6knDZMdiub1zL1OuxNp6oeAsvZxKX5rVB5QYohRFCKV8WtwxuqjQ9acRfvYF9jYeT6cJlNQ
A9En6KkB4fGTaAHyLHd2JF1I3bOu7Bu25vkGN4D3LNElf95zVgj1doZc/DwFJNgbs5+pCotXhFVY
PrsahFKk9+Dw7eQ6gbzcYJtFVMGmsE91ODx2R/J6ycTeDVb12Xr4LfwoR6DMAt7omxkgBrsAeBgd
5IJVowlhftMbUJm6PyOkwRjY764NgPM1rkfW2dvYRaeHCE2XO73sQSj3GgYshq4hH4lejBARhYXK
f8z1/DpJt72SaszDpZ8RRcu7Z9jLr2Sa242DnvwpmE1QoGbknDzXP2vREJy1NPLPzorTqZP+R+sH
1ypmmrVbjWksq+vjgsISFqp/jwBRD3Xf/433gQUn2BU7rUrnpxGvoqtH8rhcCcQiMx+Z51/AP8xE
2VPEJzj+PbFrJ7shgC8lyc60+mjTlpAo8qQmUdEJm6pb5Rxrvy43Tup2B6DrJaC4wAF0w2Kwh8x8
9gqKUmaJ5hbSsY/K6X2yPKWxTZPkUM2dfRiaOvgrC97gMvV6F/1a3GYL5521NFghMtqv2BrCwsnF
2ZwE/oi13m7ZqQfHAeDZwQEHCu6EkpQWsXnrIdx7TknSQ7e3xIxPweSML9mIRpFHDzGZdNfZ4q3I
Nffy1dRj6X12XSL/k9tAEcPm6+ZExI7B6IBj9HOAnnUQ7CMRBaEMUF8zmPpCtswbUxc8ipFtXZYm
oWxK9PE7K8xdIdL5rC/INyEUdTcS8cdZHaKg6lzRLVY/RnZnLMRrs4rn2MVkXHW76e7j0M23Llln
bnpBJbp7ExPq1k12qISnyzDz+BrBhJ20jv1HP2REHk78kWYmOod2+eJYk7ufipj999pE/tMS9PDQ
OiPZtf0989r0LNkenLPIi7dWCQEANnZ8cVz7bgoL9kYw8YvC7nEEcUV+L9mNWnNfMKgkscfmrF8F
zoz8qDBg7lqRhioMLNF2Vq8rEJj/abSeetGAtmkZYJdhSSS1ogqkxpQHHWkW/Bo8ZM/XQoC2mDsz
wtYVwy04EpiBBnCsxQAaaxbjzI4z4rWkRq4ISp/4oZaX1p5fdLlMUDsidzuhShPOaxeZgjkcbL4s
O/MBmnkyg1fSIz25GKCLAru8gMg4jjOMFOBKt97u71qH/1NhJ+nWxERzCRVmTq4Efgf82c4b5wJO
weLfpswwCAX7/DmgNHdO2vpjAW70jtcGaMPyhxzj7F0vcIkJut9+GfHjVlkCb00VNIvJTifjB+UF
vvGkmpklDIBVoG0jdTUa4NirVarVAHtGIAXmprDP6ja4Vr7FjShOeVIxZU+9t8WwG3gIJQVAcOUS
liimxV7p8ly4oc2U9zQaUHobgAL4r437tOXvITkSPSUkWI/pIj8kUnCIj+5nrOW2njdBcF/xRgC0
t6nBt4v+b6aF2dD8w76mu3RjfmimhmUSVGDqYWmtp5CEOnicTXPy5PeyqKxvSMijyDm9mqlwjtmo
vS4kAVZ6q36o7dV4IPlb761jEkySav02SJbgJGPnllBKCzMTWaVOLxD+s0CMuxffNuerkSVvk84u
VdYCGUUJZXg1aaojdG3Slr8HFOjjUwFC5E2/dyl4g+Wq3E/hiGz+px894wFs10caW5vZCNjM08aK
qy+yod2WmRu8wALwnvX5bQHB92IBRnAL0e7rJP1WERggXxkDrawopqrukpk5MV+VA9DUtEPa+5L4
ycqAvzjbQvRWWFflcIQdUb71dtMeJ9gioeqaqdeCN24c/EK19olwmf+n692tWYnfs6vNhzLJlgvC
Hy/DAtjb9t30WSDl8ixao6EyjBSmN3jZzmnc+lBBA7cE7AwtRWIu5+2tTA1/RCrYkxQZS7Hxlinf
sYt+tshzMItv8/y5l4DFfhTuG6Zl3SlfMTPViquTICxOtvccr7jRxpr1E8AIuSJJVTOb8YemWdEu
+c+QGleX5+tj15wrwecadNDpNnmZ0SqgZ2uCnDaaWmyj/Ywj5NGRb0kLUiB6TK3I9gI6r9tZcIvG
6YFQOeqGeN596moojJDCDeU2GwY/8VDyXgU31Ik+yiBJTj9nvxVncFnOsiNY5Z2oQ/VEOzVcsqM6
TBcySLCw+PfGpgTt63cmCkKVdphXSCGxbH4uB+DWosXrIdqkmrHmERgVYLF2VFW+e1qxTXWBQ+5v
exhBMa8fXLveUR194RNdI9WXnYIqqsFpyef8qK6MvY5PBllE8a/Xd+tN1FWG1OeN6+XZVr3LFK1p
CrAIn62ufgfR6gelMOIFIST38QSG81e/fn+THXvHAjVqVQNWTao+f3WYsEWmpIXxnermeX2QlWbi
P7O+pwLcp8A746j+pHobOC/LuB4RJxnqXVBVv9XrsknAMV+/xs9vWA0qvFQRUXVxVtLo19hUmf0B
qRU8mQB9fGJ/1a8B2i0V6mnOpp1uNj8UHlg1IzDqvoFfRz4VyZG8Hl3MiGovY473250qen/ivKQu
/h5gLu6CVvKNukiI7ru0fajv3k3955G8z35pLKZ1Z4zR2yN0p7xVnjOP7V8n0Wz7+tLADptAqFux
VV+X+jbUUYXHZ7pRh+pX4Egzoq7cb4JyKM74Ogagz9Th2kBE4LehHWq83plbxnQBiADMGathjED/
61C92sORAiSybxXnz8MlG0BDufFR/b2pbf+PsfNakhtJmvUTwQxa3JaurpZsQXEDIzkktNZ4+v9D
FGfR22fm2N6kpQJQBSQSmRHh7tiom13cJp/nUb+RO3e9S0BLN4WVTju513JXkrZg/99qkK8sMQDy
TOQIyUnddThIWRIjRTGk6UJCNCF9HLpP8uCvQ1NuzToapKXG8rmpiGHfya2QH6n3NfenDQp9iwWd
Va5V/WgX2RDoLq/318ydfibwyjhkrAYYdc9albcgbcNDPgN0bvXpk75MHfLZzmLbOc7BTCQwcnwb
FTgnTLgNfEJWkhf/z4Xf/QbJInsF2F0P9WvP69ODTQaF0t7QdzIFyPe9g278ZBOQNX5KwfJeb+41
nOLdW/MuqOLjHTRw4xURqMm5ORhhrs372A2/KV2m7tc7zCR4ozsukO51clH7xwwRy4P8lt6vHlJ7
Vg9wNPbztsnC23bQFcI8lnloea3lSMn9a53XlTPEAWGyk5HQx+mBJQxbl2Ug6CPUTiYY63X4LB3s
aqaDqW8HKNhOMoLHzhpOU26xLan2uTMgfOQuwZX/el27SM9+SKywlxuEKywBKevYm+M7V18CGI3C
rhd6G6a3ZVqWkSTFta7A+rPMSJY+O3vfqQZiVtJHJ1CYI6W/JOvb+m6IXrPSPlfecPIacysj4XoI
sgJH5a1tcBDIXMiGvTnC0H1e3/B1LEudFINlFKp9f2gI0juGTnSQNlMGu/RYj/84BKUsT01y12Ok
fM1+aJfih7rrsC0r2/4z9SArh4M/Nc8BWLlNSnhMkRLk1ttEOC8fDt0DaBrobFQn/YAOBX561gXy
xAdbRxjUecjn9slhbcD+8FbHYjGrBRrbyVNOUMpQdxdriVWdx/IpH9zuYJozS4lGV3dqUGC76SGY
2eDgPQjuYMoXuUhzHupdEJUPDuLF64OXq0rx+jqtZalch8mHQ4ohbU898oMyGCWpl+lacnoCfMmM
wTzJ3ZeTFMQzTsSsMOx6H1j9Vt4SUO3USvZd7eAaX3ILEiXZt0yoBu8B1X21BUsRcsO6WEnP2MGB
hsRLfMOY6K9RT7g7NCZ7uceSyGOPl+UJRLnskaf0Rz7pN15sZAd1Hi+JWUJQ5nUnmWQ0Zu0WzG4J
e+4uLILrF8Bo/wKUn53lhPLkJcdM3y5oGDsa/poH7xGxOPcas+wn9rOP5tkhlxGxTgaqpjpnjlt/
n96O2q6fAN6vd7HMHGbSZPnMZG5m7XwLuJCASsAFfCEu2WAl7kE/Kl3wrQE5MeBFGTVrf+Uxk8UW
8brVcXKd80RgDv7cI/BIOIoje5uhGHZdXV13UZEWFPjcdO06CYOlvq+NxDjI+eV3+XY0nlv9YTby
9qCaxpM81fXRSi7vup+xMUWbsShg+gdC/meDtk4cinz7pXxd2LE9LVGkYftAjP9ey+wcdH6bD3cQ
spsnQtOqG0HtDFFX3TAWfpdhll2frzyJdY5ZHwwf6F8p8Exz8uqdBUAaWgzHQOGk4CVwmcF3MATu
S26ZPBkZ1oGK7dEiPNgv0A35z2QuHdYZfX2S1wG9zPfrTVhbJSdd/v+nYq02gl66W6d6+TFSvK7F
17LkrpVzhOwHC1qIGWShq3T2SUVjUbrIZa9LLsmisMmrds3i1/4TVn/9UMrvfLfKuB5b5u6WsIBb
HILIY/Chl/UrzhFM1/KazAV0MNtgMr/BtYI9OeyTU9GEobqX7tesv3xBI4JBuiC9ruNkpMqKbk3W
umnOcDloMEVqhIktizD5O2tyjZKU8ru17PXXl/MIEuduLOB168k3hKcfbLxU8xa+3gIn1A9XfohZ
3+iurp5lWSaLOslJcj31siyUIo4gOK8DACBrZ+myFiW3JutjXOvWa3w4NspfO4g6mMOYM2Xi7AgE
yE9SljePO56wjV/arz9+LrViEymD+m4ZKY/wOvLm7wFA+7MM1wgmXYKml2cQdh2UGzJS/jkrR1+n
KoJympNbpruPUJAApMi6hfuACRGAh7SuDeseUBokWftJcfB/Dlqdn6+/fhnJV7DH+s5c1zPXwSy1
np53+E/+895J7tpLsh/LctD1rO96fbzAx6MUDcdGa79oM1SzMq+sqwc59p/q1i7Sel1nS3ZN5Hms
RcnJcf961nfbGektHT9c6p/qPpz1w5WCZcJHaK7uQhB9yyuOhjO+imq+7lXlhZcEUwrgTGBEbN4X
M9uarHVzhiYo8Dv6VK1B9tpJpls5+dr1XYtkfTMgQggX/HVEy8si78n6sqwv1b/WrYfJeyf9/qnu
fz2VP+cLuL+IifYbdy4KbSxrl7WwfLjW5LqTXcvvbBX/1P1D3XU/sZz2egU5z4c+1ysMiXerKcNv
tfPCrUwNsgeV3PqNljlkLUpuXZCtnT/UfShKP7+HMKD/qdVQIiSFDZCPlxPfO8tbGcLXrNRKecaU
zbY6q7KD7hXP6/ROMBWw8bWszAuMXMoy87MWCrAoWZnlXk1HfmC181amB6z/ULI2MAP/gatdJw1b
xYYgs0tRzoAwIX/b/dN0uw4FRzb9a591GKx1H4aLFKV1DJoUk4UL0mtQZ3PXOXo6b2X/mxBggLko
GV+CdogO1zdebsqaXKfVtSy361+L0rC+ulIMMKT8mb6l/OEMUjdnCbETWsJrtE7214X1tV2ez3pk
g1YJm7fsbGEYMRYLybud49pNjpVEFgZrUXIf+skkuta9++PS8uGQwauU/WzcERX4WAOlQDVAemAp
NzQiOZYPV4kiXvssU5efJVl2kjtTJn2enWbV2TSZY53kZV+f6PXdf2fMfLdUWLtKTh5vVPRY9K6d
rkau3IH0xIgjaFJ0uLKH2Stxx8Dmok338ope7ZQyAsZZj5sv8iL/sWrVarBHOhvXSYNzMM+zcwJF
MChxQGuS1A3eys1a9q1Agf8stDblwjvszBYCZEzIq+XD0rXgaOr+RTDbFg6ASIW7Ru6qPJc6A8qk
V8VLGYMzETy5vjzguYV0p73aMz/cfrmp7x7Rdet6veuyZ5Hs9TWPcE7Onjnt5S7LZddEfsBalBv7
oe66q5OWj2DOtac0r39JD0N9ayOtt0HGEKm4IPffuiIejwZEgHsdxCxFoGcQkBZndCZptXR8Z4YD
Tc/S6nmEeepJgnZTHTxHWnbUlnOoSZ3dlUHdbqTX3GXjSZlLc6f2GUF6w1BsmohXXRIvc82t7RHg
qRFTdJsm7kGNQivfQxmE4DI7+z1WSaKGJ+fc6EHzACYLXzOksQDPMwf1oli9Tf3xZYlo/xRAA/sJ
/E29gzVuhJWDotRlEB5lCe6JeoQFIrar9FPsOTALmt3dFMOF4BC2cNDx7R89y58f06r5Cd7x1Jta
+TbmJqpaqf8tL1mS1+jA3/iBSqR41rz03mx997DW49n1AxwOWgs7zjBsgqauP9czMb1syctXXU3t
LYw6hFdF0HapxSILYGJKnnOrgr9JVXcVFMEwQ5XEcSPEWN2PSwumJMQEBhQFwkQ7NoVd3s9TUt1L
TpKsKBx4z/IcYmGM8FYRB7uygn7In4avJs6zY6suVH6ZWhnIkcDEsVsMwBvXZ+cWFzGs1yqAT8NH
SFSFwXDXZgUxQV47sB9uCveGSA3cax7G9hbWr6mfosdhSQC6RI++mnyDVlM5S1WZIdIN7yKsXAXE
Z4aFt8YJHhvYsB9VPKGPqaJp22kcA3YQNMS2R2hVanMvcyRF0ZDdTMPQ3WtJ5z3MS1JnhO3ZjC3Q
1fRYG0I9S7da6aCKNuCdMSfE5sZRhxfG/zUl0Xx/LRHNAfOvw5hbj68iy3uAZSbaVmG7gffU2Dua
Ze6mqcnheCOYvjA088Z2CHUmrFXb6baetBuk4KHBQAG89MLytgJqd9ssyVpkfB6TAhvqALWRDTat
1G/y2UyNrWYa2o0kxRT8XVn0lbKdPFDuXphibIbU4KX3CRh17bH/mgz5FwNXOnHhwP15t0zwzEQm
Eq1QVLDE9PMv3J2fwzzRv05NQrQChDgvwZgRdg0P1sOs4Uu2psS6VG7e3+h93J7SNC7ueQQakP9W
/dSMCoMrS8071ehfaliD7twoeRjsqgH6qtSf4h7HkQPZ416K0oAr9BX69Xxfj5se4Y7NtHSPtRRR
vphYruU4PNhUOQqwW+aM3buDrfybk87mRU5VN6Z273jhCXAYSp0ZtGgHPjjVbv0FbZD8DsM5uZ63
Nub2oenafa5Ca7P1kVjug+wZocIZo33RsFe2zQtAi+YT2PP+HtPxWUoI7bafEK0DDJWNkDUtPaTO
McqPByXui+rCx4VqIIHawH6wWCxZBQTdLfxp/W09YFYuU9hOpMGByeIMDWZCNBu3QjeV9gjZpraV
otyeLFWXT5VDTNhyf+xxJNClWhZ68dEef1//Tprk/tEuajBny/2DdZqIvGzy0KdnzIyDCXOKZCWp
ghmE+1qW0Ta2UEi+q5RmaekAd+yGBwJniMALhg1xXUgqlBWTkl5/qesgPPX2EMDxHlbfyvIg7fEQ
1odUh7WpmhUHg7XiohaOPfDcBFFw2y3JkMB74hr+8V1D36fIybwFvh3vgTDEl3LM0DBcEslJncku
G8kGG0a1WIsa9Ab/paMccu29Ht2NiAP+L4ek7kB8haodP56m7QpIbp/G+1LFGrj98Oukt1xkKkq9
uU3bBUeB29G0WhCwMFLeRUuSQzBxJ8XJ92EsjPwB8LoaY1xfmksV5vLN2klyKOhd+PB1+JE5OHax
qoRl5aGJMSnKjfNmEYoPs5S0fjhUinLhFtbRkwMR+PVQudq7IzLd3HclARofG5ZfNZUxYMenubC/
pMiTErk0u+mlnar04o4RAScazJtdhp9RxVuxT4pQe1bLcLh19fpHHmrq82AX6rMe1vcdE+w9vmmQ
LpAO8vXrDfi/nLrVLzahJW9uxqlw5pR3KWwGb1GlfAaPHDxIo1kGd34R24/SRqTwPgVQ9ylfeo71
WzJo5ovmR8WrlpylC9+c7FltGuCX92GdTrd9oKV345JA7qcPGzOpydrNvGHOJhpvKUofgKY4cnz3
l5oMqJe62C5BLqVvmVfDo60Z7VaKRt8MJwPV1F1pWjDib2yr6z8hYwV1kTXq+whA5VvTI4uggtc7
LvjKN0LByp2d+eZpRDLzsbTHF0Jouq9W+X12G/ezpbjtTVZGUCfZeve1mQmkUB0rf4REBy7dsP8d
OHb7lZAtfTfHqIjbjf+iEXwGh207EO9JLg7b/Yw0LHjhv6uARf5p/FCnWw5Rsdl8Ww5evUevrYRh
zileMsWyb5q0m+Dc7osXHcT0J6TfN9KoEMb2QgTGZ5C86p1U2X6Df8EdyqMUR9gkzpo3JVsp1rFr
Ps546aQkZ+wG9U6F600HEX0Jppm4hMIKjUsNVwyw6NqHhc3O7zC6x92OWDxoPaGW3Vf+4NxIS9/6
3t7UBotxh9rJ7DPzQBgTvfVq1W/B+EQ3UnQi1SZMIeovUrQRIkIHUvdvpTgr03eXb/69lKY+e2S+
zh+NmPgefwxOYTQoT2nWqneRD4w49JGrGvLqkUCfPbQT/VPpta9J3KoXghWGJ11veVViWOWrxL2V
DlIPL+KhVOrsXqokMWE5imwADHWnI7haoB6b2cGTdI+Boz3m5lPTFAe3cysEC+s9NOblxZ6c4hJ1
gOUWsuDyoqgkTVe50Myq0y72ekjH7ah5CDUHKfDJeoEhLP2qWpW3hzezPEkRjA4h9XrxVpojlJRG
TyzB0k3rJ38Dpx9RNfmIurLaEihepV+Jos6OwPGdg47v46ttGZfcVaxnM8ycuzKxCLBYurWT+msi
WvLMp027Y1mnoUZEzl2SWUv9LRa8hvjdv+vWLpKzlPZX1eva8Z+O11sCYDo7fqjHubkflYpw6cKF
+o6oLpMv0a9c9V/NcbDfGmeEHyjXi9ssNGyYjauUiLhh/txX7pN0HY30to4M70vd5OrOrWPrLi09
BFjqGrYUeGFfgSP9VCC/2sfF1iVs6FYteancMf7eaQSIWYbbPHhmF9wotpMcozRUn2FVqTdyemf+
opZe87PDb0QYkRnDwzgZJ2y2Jay7pfXk2XCO87o7EFtq+SbJ6gJmXDiqbkvm1Fu7DHe9r8c3NeTk
fxqufaS5XGvBkRD8DI3/Tp0DNd5Je0jc462cLXZcKu0KOGHlmOdrUZp1T0vGA692dO0ZaPqTZSbW
UbUHsNvrKSzHvNiEl984oaXsU63QkaUanJNFvO8ZrZvmVjNM52An2fQ4oeOy61u1eeVtVAn9cZ1v
rJ2f4OZRfjfeizskLEnHwjo8PdttYf4EkwhZpMk8z+jjpc0SB5BKMO/rqqrvY72tT6ZRDTeR21qo
+/olsgSdAz8WwapMfCAz9RJaLL/3v8bB+JpEpvJLIdLyeqEs16CKK6y/pnT4HiqK80Wzmwy2Y21+
Dm24wVmiBA9AqN1jtpCKq4qfXvo0to6YA9IHFygQMc6Nhf2Micz25/ArE/A3wIfKX3qADjLRSayw
WYQngWv+ymBG1rv+JUCao2k/9R0xy/AUNy9ey56w6yvtgbiNjvAcFJbAXTk7jGu+f9J1Aw2q0Vko
DdQUtTityy6Sc5waFyAUCHddAq0L+jWfNGfwXvLU+6JNsXJn9p7HPYC+tw7T+kaKnQHzXO7E3VmP
e4ipNNZl564k1K1oXO81AJC+qYZQveur0n+N6vmrbgX6vZTmJQLc0a0H6eppziXSLP9RSmEfHNu0
TD+Zhe6/+jO+xMJqnkvDcV794+hnzteYT+WxHdX26LRD8K3Qj/VQ299KIrKQzKnq0xAMxRdk7ra9
Fbmf2EfeIvJQ3Ne+Anl+AHij60Ntc61bGqICjzPKuguSZTxCdjTxEkG8ZkTGL5E7tCBTC52ge107
NEZt7Cq7sw4DkoL33ZIwMKZdgzbyTorSgMO2uG9m1LaQrL4Q7MSVg64iugHB0Q22u+LeWBIbKt6L
qxh3uVPNn7ACfOnKaPo2RUugRwueAx4oKPdS/Us8D9O3sY6s7bjUR0v9f/d3oVxa+/uuz3kIT9s2
gQvh29/nX+v/7fz/3V+uq1cDyG3P3Ju5FW8HNuxP5TDVT7pj6kd7qYMuo36ShpzN77VOukAU2TyV
S92HY/lyQmeleMdY55soibWgLb2qUQ+MjOxPnYp8tJebh7WbNI6x523qGrxBUD4oWWsBmATzNWr1
EOwd3vVdD4/NLhu14kGS0eR5Ff2bvtGaaq+HiXobVADxmKSkAEO7etsuiRRtQwF0fy1n1a5nuwbX
49+tUr8W5Qipg9vukkcEtK1V1zOt5ZRJbx7dh5Lb9b1H/gNGMu9rAp6JQVXmZ88HS6qPzqfJ7r3v
BgR0WAu94cFyXQRHE/hWilSN8L6CJgZ4fG5K5WDo3vwZRobh2HFWITx9A5Z1lmuEGeF8fdVadyhh
e/d+p+HoWs6NeMWDzl17JW7EQnXAMA560443eh3C2b0I7oiizlVcxwoLwLlsvqRBkh6u7r1LkBVI
9N45m6lZQq7T+k+ZkyhPEER3O/3kISOWzDOcLgbcMZCQO+aGJQi4mHisj0qV9Uc2f9DiG78rs/0G
xcjwOYpRgk+6tn+Iml47qXGbnf0xNe/DQEcTQynntzRMfxN0mP3m4BA5+BvFNGHHQvr3CT2ZozF2
wX1VNM1TsSSGyvIwLKBLXDoY+gJFagjZsNryXkvBxUOZrO4Hr+jupb90Q+Bpj2jkhAAa5DTJoslO
yDxasn3yFEDWga5akz5COoRAhIUwmtGp4wEdtPreCrrkWAGtuUsyQBXGaM63jktkMeh4++JkQ3Qu
oDK+eGZknTF7FDfeNA83WTWOZ0WNyktmFAj7+H10mzQ+FE+D494m5YTWa42RJOoS/xC3rYoCg1of
XK8YAbpCugwBVP+If6Lcp7HTPfmwPcEbTOwgMw7RQFXfP88dUj+IO48vkQU9cmdu+i7EKBUU6muD
D3objqrxNrouXN7wnn5Ge6bfVNE03vnoUEFBnae7agojmLDgj+PbBODDT+cfSePuffTIvuC9buC1
iRas/Rw9E0v6O7LV+YeSGD8w/AIvtwIM5YGrH7KWj7M/mMd+OYMbo99BHFiJxMPIhsqeIOkkxORH
QVyi3pnfPWIN2AJmwwVu1PGxRkh9YeOfIV2r7zxr6qBC5g1gZ1SeskaDSAbyvvE+hq2FRfl4yk0l
evEVz7l3NNC0IgQfmj2QO8sfTn06TF9Mm72TpgUvbsGbok15AW2AOn6JCADcB+XQn+QoPU7OtTFo
N7mjDTtsicUNiKCYreoSGWx5CHL47eZaZU4QIkoXyb2rtJcWqfzYsnYfM+En5ALreaSuqlxwaDjw
thmKgfdW2SLl2CrdW4eA5c3oqxn0FdySDL5t7JYDSI+lCKOdt5/aAp3LpaibE6Al0yrOUvTTWtuA
Tow3iDwAkrMdNgVLouchek+lOZWX0UsqFCzISbL2kZzUoTRO70YnRGnIicb6H46bIYwqAaj/17ml
+O7SDjoCZ1ZCm3d16yFy/TEq55ss/dJMYfjCnOtvitixzroPtqLPjWfVc/yjMYTKds55zI5XxI92
VZykJAeZhvfcdpl3Z1nKCeqi+d7rGiCFbd5+7ken2hiDE3xvA+UFQJH3l6lph9xlOoAHfBtouR7R
AVLeLot/Y8x4gB0k/lFFdcxnp2m/LHL328Tqyjvs3BcVEvc7gALVXa5V4QE603mTmGp1tzZIKwus
P/1MJHmK1tmq3RshMig3L2eQQ6TjWuzt0dk4Q43P8j8X+XBqZUzAC+n+W0qMKoSZy0XWE0gxHdQT
zq/4ZucOinPbjQECREiHovii9CEQEt15NGFyfEztZfbVCiIMzNC91oH0RVIpdU8OpoI7R0W4JFah
+r8WlzqUuoe7aEmkjhBMbY8uGl6QpXVtkH5SV9VqdjAHVAGk2NpGvo+ghdl18YR5v6p/RAAXvEKt
v2rBBPytL6c3p2TTXk+N/5zPeb8jVKx/0rsYNkxnzB5cA1KVGBK3u8nqh1NBVC0MjhEx+8hWna3U
gxNkmcUHR43u81StDhl73UcVrl0sBlivU6tWMKwX2Su/Ltxi83Y/JzYMKNZsmt/QFP3iN6n9s7T8
GxVDZgATDrimpE5YSr8WZWtD34eRAYdG93ucvFs/z4ufRhN/V0ys1MyWBNATNWRZPWpYJlQLFpSe
2ZwNr349NHCas4GQ1tEJy0uYAQWU1hwJz1u/n5uNtMZpmKF5CaectE6tnd7XivktWc6ExyN/SOvq
Wdpi08XmBNESa/LooWxV5T5GSYh8YM3Rg+QkUbPg66yr1XmtkhxqqOEuRsfnetTaqjqZc4xxRG2k
zmlC6CbdBtwp5KDbtd96HXXI7hqzsG/8WafvHKNKBRLpeUy8EheRj/NES7WL53baRQVHBWY90o7p
DFWMNEgyurAGbZWlT60oU3VYj9F85Wc5lzDb/ec077pYTgyGTE6+nq1HpmPbO1O5u55Xmv005hLv
es62omyRwzJ3hu0BBFtOrww1EEEQrO8OlIbrJeUHhpnqHzzTfLvWGfIL1otPXsIQ9J1OPTdhu/vH
/7T2/nNe7a8sgLfh+huWuyC5dz92+XHX3yQt14t2ZfYQQ+wKVPxota56KZZu0sE3a8w8kpUWSSa5
/ZI13Q7qhuGHh0foTumGA6sN5NTG5q5JompbI2ARREDNgib/bhXNBIceMY29erZDfz46XveLsNxp
l0KsqEY/ez1BOtK00aPw4Afzhu4cpu1fdeZ7B9ZMFxcK06jSo51mTwuVrffTVpDIjruNUjORQzRr
QofvetgYG9St3Dp5Y595AoT3aja9t+l57eD1mF5qvyK4uHvVgpGTAfODETu579Xm1onBX1ZEPWHQ
2adYtwpT/x4Ww62C13MqkEScoGAoF4dfoeB0SMD7nsARs031kkukaE91myiPasyWt0TP6LHyLyZr
EeTllqph7IFJpcndtU5DxGUzF0N2Xo8KsOTtshrKJXRTlUdpAIP2vZ1BXFVtD5Rzfm6q5yY1h8eB
hVDr1HCh52zJh5mQEcjLYn5I8KqUiKygkIPsQdU5MDu042YEamp6xBta6X2vjSiALcmU+k/1AI4/
Ky5OMFhE/ZMUWIu3YMzGg17ANSZ1OQwMxxmVNQymf9d1MwsJKE31Y4WKXuFa/kO2JNBReKVTPbY2
dE1pCy/OyBrmcV6SKDXKkzs500aKzCDGYwwbBYCh5lq11je2+TmyWuNGqlyl0uElG2fkQptiL3WS
GLqv4yaCs1G6vGuAMc+YmuuFpdrSC/y7U5Gf5cJS54fDxvZaY9dONR7r5UdKY5So+cWyISBcqizM
6veOo+yGIIyfinJfAAh+bDUtesJn/nuMKv88aMYdROTp7YhY1aMk7gzXP7RW1mGtS6c+R8QNZv5E
VWIFSKNvoHnd3SRWYj1i7Leux3aRvZ8LH/WjsG1Q0XLZtPkpGkOzVbrHaxmFpOpQF6m5Jc6X9rC0
9MuyeI4b92H2WB30c4WvqOrMR89LlAcrugRLwYjiP8lo1V87rJY3k5ku20LwPqj/EZix9hsTWI7S
malXTuSohY12RfSI4F13XxbT7jqi5jIKiDVuN7AiNw9FnQVPJkayJz0unks/GC/STRKWZPoGWaDy
JEXpq8GyvrMqIsflKKkDUZECSUju2MONW08NvMc0N7xHeLnnG8PovgV+DUvIUq87WY+SVLzxYxfk
v3SDAfOM5z68kx6s/B7VSDMu0cz4K6aoPSmBZz8CFnUeURCr9lroomUwzs6jNGgt5J5qiXNGitIA
YYp5X6UsGFHeUGCODVtcyYax7SPm36S3bte+IbZTxMwa55jqVXxwJyImoLMMn0rQEDvkWZK94cCM
tnXayj8YngFzOPwtT1A9R09m24ANNRLsByP2UNdIERVatEwkYe0yo5aFmqc+j6w2ygA5PAWxEH9h
6vMhHv6TW4rw633OW7T80NbwiL9bpFV8xKFvJIdcc4b/+qZdUELdEsIoOUkGCZRcEja1BE5KJdS1
3dHT8XiPMYQvxfQSXgOvljhvlWV3/UXVZ8wsLbvYBfiwJqyRgTpIORPUQ29mn80FeNQtSJp6+Qlo
E4E8sgV/ZFUQu8EGiVEA3t0bSfSqHWcEjuqFf+M/WT31fkaJDgdGk0P7KM19P4MQlWwM7QyU/0mM
mwPifJx2sOxd75g7IUGSwDMSuzYuRLmL12bIXi6LVeYI9wlyByDMgC+Ye2UyFCB23a+pM//yYYtI
i+o4Iv+1s7TnAF3Hm6Lrvzjc1kuEHNih1cxv4WR6+3GJqk04TeFdmHGyvfzf9W5LTp4APqxwbwbc
KwWVtIva6bs6CcxTi1DbjW0U5dlmk5BUcb1R1O44mPZryr+2rBGEPqAOlSfMENBq1uQuhPSzYu3i
GhDzAkrLl4hrZ3lYkssgbdhX0ILw3e21mwZmi6CycXQZJUx8STrevrsxQJS5b7bXQKHoaFtFyXzs
/RjcqtD6aWahsjes22Kox5smtIdrYpjReOPry53Lpm+Zplc3QH6rGy+vIB2XbO56vbaXrEivSk6S
xPErop082DCW2PlikWMpjQqADouOfxxYpefk5yiDCGDBiC5/UxL5w2uxywyYZTR0M/0FwzQvMYpy
OwrBnEq2nTF45Zkz7dYnI+N0LUrO0wbkrQDwMnkX8ASSGEvY35pYnRkeO9O6JEvsvYwDSaKlOODi
OMxRcytVpW8h7hC4rEZE1qAXRQNb6Xm+fVF8SrWmRn3UyMGALaixa9bp9OGcQPIFSJ57uvBDVCYy
BpJIMY5gIdYi5XfNknK4IAzZbubG6VFFUeLx4rjFzkCmqy3GaRNkSOuG6FPvVLdiF6Or/hHbz19e
Or5o5UKsy3oE3dgCwTmg9BOu872e9eBGk7usqMINHGU4SucyvLWJhbkL/G6Lv73ZDFN2n2l8InKv
snYeLKsXtWq3TBklLnQsi2XVnaEbWLa2s/oE+l4/zQMKQraLJq3zua3b/GDihCGKvevRYmmCQ9Qi
RGnmG6XP8I8QJrjjg8ukET+YumZvJ21S9r7SIgvT6we4/6Gnm18NMz3nZYn9DkmiqDG/VkOFZuGU
HqBfivYWQL+i7W7DoFY3fBxBJodFsWsAZITdLcSvxJPEuHQVFddrEGNUAUu1hZQtOgzVohHdGkTh
YqLAOb2dS31A39htdiUUFY2LrbEffzcON8btPaRSOH7uvdtgSuJthMCWn8cqvKZIlEYa5upehfjW
iGHHRzSz6n/HPohslUiq7Thb7tGH60Yp21Orh9wEeOgi0+ZOmyFY8WYwiYsZ3jx3MV0iBMl6rPnL
4dO9zC2aBneMY5/z5GgoE0BghXj/blCOrCjmLf7Hbyyew707gd8vFTuBm4gwHXdm7WmCzXGhRyN8
kz8e5N50StynEQqkEx5P9ZZgWtQzXBQY1JwHXYLSBTPfBRAGu4GrorXVmXBOgXoKld+tj7ZMPd4t
I0iP7fYuDedfFo3bvOFDWbHJVhz/vtC7n1UGO5LOK7rVhh6xpmnA3xg6KOaosbnDIHpbJA0KuDY4
MRDcuxRzgmECCp8TNd3a7UIpAtfyZtTbzz7fix0srxt0mdEHzXDhuFzLrrwIToi53xKVM8HoZd11
lXLIgsZ/mmBcnyv3R5miqheowfepVw6ty0Zw0PrdsgDsbSO8ECt3sLzwLwUe1k0xok2sjfMXr8Jg
gQFSU345SCTCa2REZ0PDkufF6hOMC+7WmNKdH/Yvk+YeEMIlfCQkFEsxVbyt7JCU5GdSad1hrsZu
N4VpeVDct1DJ840VZ/6+TnPsM31+sGyluJ1DTji0WAYjTXsIxriFmnI6d+p3dv7h1pucft/Vz02C
VGuNXhf2/L3tlV+1toeeBYIk10D0uO3fiMg1IDuKwy0qntmG1aC2neFf3XgIpm7aacw2sROeLFNR
Nz2UXXZsvkEkVpkESULzlbI+qtRdHqO+4sIYqmrdSTMCi7bpc+D13/2gqiF1Kv6K5y+znkC+loY/
Cc7Ndo3+ioTia0+8JF4X2FKHiwdl6uLbaMfO3WFrG6fOwWRGELDt678x30BhYn+NB+u+GHHap96t
qdMt04Y7Q2X1z5we73tUh9uyufXnDgHZfDoiz2ujLpuHp+kHytnYq1+SvPumdQjKq+30aMas/P+P
q/NaTp3ZtvATqUqhlW4RILAJzulG5aicQ7f09OeDf+/9V50b1wJrYRuk1uwxx/zGuFxwvTVCINHo
NPoEK3QFZHLEMwzYMOacCLp6BAiWfU68SauuIRRYs7R9oyiyEmG0wRDy3uvrwkXwJ1Lg1mq2XWlH
92QbDhtaO1mgWvfZUeXaqkYWAg0MbVG8kXFfrA2fhnffDemq78tX/KIMOQ7soVWekpeEe9PpCBK+
5MTijFabXitegPnfg07zVv3r5ECga9OcuXu591Lzp9bynzI1v/vWIiywg8yvs4dC4Q4rOc5br6RZ
kBp42b0CH1Eyx28GKqgqgf3JuX7Us/bUXoSqar40Yn+t3iV6QfILJ1hl+0ms4N51G6U5l3Hn5jwl
2SqtHdSSi1G3jdW+NrgplHiEHOB9sF5YNZ04yIx9V6ZnFyPGqinqU5nXf6Xl7tvW+exTNl5K3CVe
Ua6FXuwwqqAHRQN5LTJirt6TNwNpZjGo6nWLA30zWhlEHjnla0cjjd7Uhnml2ZVaR5b27UE2SqIJ
I3pqbQShUubgOuGsuidi3mhDlyJEBQjtBSUzqZ4rpW8Fqd5bL3HwD+NZSW1OM61+8/U6u5mCOPEu
DLGHyUqgjRcv8zIUa/gzT0m3fNfKeTXr+X5yArN02q0Tq+MCmjN3IM/15E8ajnOswVh7dQ9nsDbp
qIl+n0cRNm0nlKm29lKy7t/ntPnw4+LJacaDcvA06vIlGYpdjwcnV5wT2dBvQbKBppkOCeBADG2A
0brCXucNO3CtW1sd1ydUebvYtX0tEXFnmHHwoYEGkF0R2x/zoD7Ipi5XbqE99x4gmyE13/sy/5bg
9KxWvTNf9ottF1+sFS5Tuh9F+TQzRh4Uev3QjMDLUzhMU46jmvfjURAiFta0AfD8WWhH/RLSgASm
1u/jcbwn04gMQQ99XA7uby960BTcYcnYJuq9EiB/ASivNCGJvNQrsE3FwRyq+xw0z8pYpL0Rvh8q
x9+/lz2APmhD+1rZA7z9HLP8jD0iIUeTNPZbQjHqE3PDWPhcsOkmV2QToeygCg/2t14Oh1yXbyO/
FFu/1xQTBqTP4sXvtFtWvkfMZc1qHF3e+vhkkExf22Y4ZHKn6mjb73pZbXveFhYJdv70DtWK3l5K
/S9BAbvNKUWl2g3kqek9wWLKP+Q1rM/RyumnVFuZcvVKL/otCiKUc/xplepenXE4mP5wN3pFQJ7D
fTPEH3bJvpERMqIbZPHuMlMPn7SeAlozpDwIoj8Xzg06AmDjK8qGzpBUNGrjWToG4zEU7DP2Prvl
ujwRPdpRB6Q6WhWXy/jqDIjKS+GpFRyec5GpftW6EAF1geHIKuOn2il+m0F1q3Io5Lr1RxIjGTrs
En0/6f6Da1FEzgnk7Cqebq2eKrsZo49x4LpbRnPrAPN2++lood5BTsnXIO4craAb2kagRPFOgdx9
hUGI0SlGQrPQDrvJ4k12eRuJPFlY0I1yPZquz8C/562mTJbr8rEvYURNuaZvTQtmQ9+lDwTADxFs
e25wVJL3/o+uxvFgACJjN2bvvGh40sQMdtMfP8QAaXzWUnwv40fX+9t4Ainap2QU+7m/LpAIOhoc
Bcb4daVrXDwUYa3IgjZGERh1vUSxznflMnl7QiZf3RR4D3fwcWp+jIHaeJZcnjV8nSw9CK0mYU7C
UMw4Xdr0wWD5WTOdhKuJ/J4lbQ9xWv8RMpqshDHSVrKeo94jqKT6MiDXeUvHlIRBIliUeuRzVscx
bm8disV4qE6TT9OQfBFQV0cGiF6otV88mhaBHV+yIkz1PdvsAHJvUifP51bjzOvcGy8Jg9zNHQKk
sh6Oavuamy1XhwycbtHP9lQqivEiXwmPGswp8G3E6d+Enj3c2vWFkGUreG9KPtu13BimrSisCM1I
XdgOzninSdXsUy2/s2IKcjJpK9OuQgtlqm0XSUGbTCFD2lbvlGsEoWcnib/gW8FOzfHsJUbLFcBJ
o/0h+n2mdb6PHEuRDDzQrTyVDRgzEPdiVeC23S123K17iJi+zIJssY/d6ONNHX9t7Yao5UNKMGuF
CA3wEe9d3mwYZbzLJiG2etW+A1m4GasF4nN9QTR/tILgauUbDOvXyXMjXCohPFAeIsGq1WPqzjoF
M4kFvfJCTEs20ZCuDDKH4R5nZirE/sxGEJCTnMlsd8ytsOYnU3cObcYVmPAO54JQCbqSv7YbTeti
gDhcbhLDCVNHfSzqBufMc4EjdUUuSLspDd4nosRPTGJgG1nYrzvMKg3zRYK3XzXIfBdvWwA95M3s
bzVj6xB4tPJt7VHUYjsBuL0sUvUKDiqjUDMG6vBClyP9I2dh06xb0IHvU2J9mY42byNzApbMCClE
Q7anRQHejorQ9jn7a43ZAQoTYhMT5leo8Yc0gZGUW3+WM1QrRyH321CTWDeREG3wgqZ+n3q6CVXO
XeeknK40n7PEtc1PBJdfMpSb2ymna23SuJ+JKspN4wFgX7nGKsMApWWs9by2L/9hk6IRr02Txr6X
h8KGS2sotXONyaMOyJoA1FwPPWV4y4wWHPVwq6WcbXUnVn3RPGdFxTiScwMYc73U1M9y8En1RaRY
OUUSShLHoXYuJwcLeyN+ZsP/bsolW2NkazhNx3u3ku9uL78hie6WeQ4c0/ioVWpDS5Ygehm+iFRn
wyeRVUAfRG/E45S792PvMZaRlcfJG2mgtDqNbP89swcS7UvrKRoeRqGD6oYhSoIYiTu6G61VUh0L
WxyE4XDpxgN5TvQxOt09N+w6prqS6yTV7wgceTYnUjH9sdrGyfyQRPaEF9C9p6FCgEsWwWxe3jz/
wXM0TCLmhcVXDioYhowCmwITfF28zsx6PUOxJeZ8NXUj/YYk1JrqWBXPYPN8mp3RjnMy6JrE2qjM
YCc2GRxqptVGMx0r8G76GGAnoh/eBbLB/RHPSeVuZKu/aUVBq2U0w0jB3FMRYXgFGLTWHYN4Gr6T
Fuu9be2pL/qqoMCQ7sqmqmT3Jc96vqeStqEOF6RUpX5g1JPDjyEPofC1IMKbW7WWEXhe9jO7yVtC
n3KexzLQJtiAmW/Oe3d+rUVabCIzLAQN6Yo5VGZQ441DDkwtxre8ii8KNTv/KONT850u4IZAr6Qz
UFrJq9PCjCHS2cmfleLubZPqvW0kJcfkDLQJe9rDCSHRvuvDUP5pIjIy8qQ5DXGytQgS2fqzum1y
86vQGNhNMsjvF95QO3zjSHqmIV5vNTwqq5YrfuNrLntDn0tJyv5UzVsfCvA8I7fj52rXUR5DZ6sZ
C2yZRCjoamU9s39FhBaSpj91VBx0VwNqnjUkC0U2rae03yUANlaYltxVV5s/0gI7VTwbjluFcW18
uIa2cxeFfuLj5rGan7oGdQqv+wfezCcVtdy2ZnJaQA5D9s3zgDRYKATLuUuIcL1T3E25FBk4rD6x
xGD9nv7ItzxFPhHLKWuUQdB5ObkvvqFu5w4YCZw5suSt7jx14rPiwwKJcp/mvhlql8jlpJkPha1D
fU+rcZum7NN0av+mkS9co9hAMNVflkNn08VzyP+jCz7GgG+TPbFCz7lhamsSsMIXBkmjlWwj3EM/
vnptPesVbfvJLUeqTYyp9oLjjOhqRidui9xnm8oSFVkUvFybmGzRetsOe8277pgfrYGXqsQzgWD7
UPPmrSpp3WtFjmQorLeJvqURy2lN+s+Fp+LHh8QWT/Hi7IyCAl3EhPKxOlEBQNpjD+uZsFvb0cJo
DEkYwerOT+L75peFN6LzI5msVMl0Xwh2ak7HPE0miUUR+lvSEdQwmzV5UPIJAGmxxcN1l7nTgbYC
g35acRJFPKzZBB7khdw6W4/GZ1x5n+7Yv/Q6J2Zuv5B98Wg61VrE5BQSAQwFnCDZ+abvuFoY68Ih
vust/W0c7C/NndCVcbr1Ftl1mY4Yk3H/d5fUYmJi2rfjKW/hgLMAYIO7wJuN9+iyefW0+LBAKgSp
fchNZ0G467+bVm1bV3spiCReuYklA1lTeOs2boaIs4UqZqxqn1Fxoa9sUdzU0fBVCUYoknEBSon9
qRsf3ULcWqXTB6Y2UlNV2O91ANUq07S1uOTzjr6xYRScKPqs/k7KZAe44qZLk62e2z+J16FTdXQB
SVIlSjENzbk55Q6Bol1b7JuJyNRRbza4wj9zo8cuapLQbaebLKfxnA3436IKcLC94Ve4HZOzm1aY
hOWh0gz4To6RrBh6jKT1EA2MUETR31JpTyZRQsqpkyct/4CZWNmLGWixjhtLmqcZ9tjaGoxvdxz2
pp8+1pLOOhOAP0N0ebOT4mM2pte8Yq6atAXoVzV/cypPcy6PdYY9L4o/KSE+CVZNVm49be1m/hib
y1yezo1cK30cgUsNe9zEbUdtflEqVUgXL1lbM9KsnpoEwJuoCcmHb5NIkffVoSyIU6rth9KTgg66
9r7E8qC3IKT96miyhAvXC4e69oJSArmrhk0q07e06ETw19rNt20VX1HT4LU06/sSWuPgliwuTkfa
kj2Ax7tdKrmJyI/H5cSsttHcMmf0aGoT5nQmf5my2M0SLGFCNmiW6Yh6YzVxNuI5X4S11umpwuCK
mQWpZKAHw6IykhLTfLvE7i0TlJ+OaD+KZTlPcL5oqzlHrpBXJ4fWpo1rv6rxYHpxaHZZ4MoRw7FG
WlS2nBheuoFau4StbW1s8AbcfwzyKIvAM7m6pkWfdmQ6QNHHBq68Ecg6f1Rj+Q/KRbxx0VNWFhUd
Z3F1tIqXUeRrAlTvumR4SyZa4JdTcJmJmMJYom9jhxOF+YnTUkQhivhb5A4nlNtzBCifXQJzaEVr
bEghui1E+Tgk5nupHMFGL6GsZZ7K86E8iYEbY5U+Xq0CsY4og3jc7NiNPRKq/dYM2Te73yemQIc9
2HwylZdozdzLm90cuiZ6pzzAj5FQokQI9QeNRk5nELYyzna+8Upzh8sIWS+bLUqGNiYfUjvUbqOd
2Gu+qhJtdxndLXnZ1bq2HcmeXvnbcgFFs4gi31Xdsao1GgS8wMbLtW/2vauZWQiRRt5OLRpzkyXI
SkKyYuXFN1Mq2TRCTqC3rwVNZhNbPNvh3JfGjVbQwWqZRKAT4bJR8xKd8QwjnGe/3TMel666mQwm
ZVjlgzb3QOPdvA+vD/95Dgx9xnXZF9HaZYQDEH9jcq8aCBt3y5osg0v6k3rzRAqMmwALx1Vz0Prz
vnYZSWfI6cNBRzYE/lPXGrUdf892MShURxGh9AGxZ2vzshRdH05U6J3kHjZ1CJDp8Ei+8Oc4FJfJ
Lu4+iyb3wpj80I3+XDI7g7kwPvGRca/psbtluojJOS7etRGgam1R2jvS+I0qj4uGCruMoi8rE2OA
ROStwQYI3wLirFf8TQ7LktfepPJSsiXabeLi4Yvc78Q3v6ce+/bMIhyN0R4SM4B0FKvBN1/9HOi3
vW1m7dheflx66cBYDvYpCfne917g54E9rEiWWKpgmrPDojsPZXNuMjGtskI+VjHd58Lz9l0jkDTd
c24yTe56P52ygfjH7d1sF/fZpXXgayWyoepuhR7LoO8srgifFHimym7Ix6jWbdwqevjDmuJacllb
+2oSBOrY7N52VpwIYBM4O3QHIoHhNjBRc8uF0Bh3m8xuzl02vanyErSosimMrPJPpkt/HCBtxMjb
us1O2Yp9brCzRX/AsjZ+or+ls3v04z+zt+jJduSheWw4m9SrWB6zx1K+RFYKXchjj5bEVrxixHql
BlgOqlaB52fsnV1bruiphlmqG6+5z2oNO5bdLRKLKsmHMtJbMaK+OJM4scd+cvTytS+9YqN1IsVo
Eb/BGGGE3TNDppn0AKMHy+DFdOgSO4RyiEg1BhfZczOZDKubfMbmpdu6aARD2nkeEmTK/zJvLXph
W91zPhcm+UuJVBlNNFdAqDDiTsddDoo9nEbuklcVXpA7jsFE0/RkFAABdQvky1Q32KoQrOzmJ89a
2C+V3BUzOrNR2P7eFPuhHMbVHNOY6hfEJ9fNP0dEPu42tbaqMD30RZ3s42y6FNDmu82Iywq1MgZ3
oro7vSxprJj2V31pPUUfLQpLYOQatetw6NEsscl2NzGjgSPFyH3kcFZWNWLnqDN3Mp0m5usCPCrN
xq9sKOkzbQ/nklgztih+6TJK+mWcMJAR8rBLoFRQ3q1Ul4/3LZnp6554owuQ/xZd/hjbbVCM6DYK
ooYhkTWppZp9NrUQP7gjJK2IgnZM9eMg9W1JTbmaXSan04XEcqGf/UZYodDHdgshcr+0mbty8mqT
mAS2LDE3hzgW/a1Eb889DO5Zrl6cCpOpPjzTNePzrxasPyiyUdpnN0WNrM6+FU5t5hC9Mm1hMUCR
aKv0MLj0T9sO0b6xlMZQLDzIwi83y2BxM5b9G4ieTWVf6s+a0bhl2ts5K2mR1i+Vs1g716xxM4t6
vhH9pSfUYachfgMPn5t31LUFeeLMbmxEwmmhScEAdo8QyIXGNsuxX8qiKwPXqKIA5EqFl5Op1yYL
iGyrAEBdLslzofgR+cwlbBWdHQghLnkK7cEW2evg8N5GxuDssjTHwMRlz5jPS+fwF7c2P5J5IpSY
2GFZoyXjeNOr7dsYi/PyAOpT3cb1vY6EwhlVrSI+lU2S9+C++47tHj/baOYtQSMTXWeqLJdez8bx
mjrI4mkn2LgTL1wSsTqKKqRZbMGI2frTsU4Ib2FW9lN3xPBQmtFmyuZXSzJ1ObnTcx8x64kNqAsr
gmhYooezShcO0v4EKUHIOvFXYznj2vXGm5geKsKhbwJGiWdkc6f5gd/MWzRnd5M+aoRPe0zATB6x
GxWDCW2Dn9ZEoTMJGxlJ2Kw4k+0I3BoXElP/zVHMA8uNqsw9oJJ6oaywOedEY/yo2P7Uzb9JLT+g
Zwi3ABRut3dL7+iQcSJ06OgT+Bb/W5jOVi+YoKBlCL2mZ8gE3UOT00nSY3ZI8cmSadMn2rvfCW8z
Gh2Ba2leH+n8uZti8UjHE/R0aHsFukGlwz6H4V4qVva1IWAfEcDEyNfctveZFc03TqTT22DrIyos
OW5cq60GCx4f8uOgFfq28+5gXFAY6vPLpIzd0uuowqp7HiY6Io4cAjOu+kBJ36BQLBZ++/iY9MN7
4dAis/7MKb3z2O2zCeauOE0KqxHbgVHRgE58jZp91zE3fo7JI9FqwqwJd1rLXvvp6undisn1KqJj
PuKtFOOP9BD0mwwJHnfl04AoQN6bD/e3chA/rOcpYnuYQW/YMKDzqV2m1xJ3vlUu0QVllt1rooGe
b8+ccktTr2qsKGtjYs/nXpj4fVP96pb8GiadisWRO4O1J7xAt2VdfOHdIL0S+in9XnbGpts98Bdl
nFVJhvxiF2ECAhez4TrXsl2pE+jcRdZd2/vZTd1zblvtOuZNXs2Njz2QJrjR+vYmGaQ8Nd7Gwj27
9pQgbWP8nOf6zB02owq2VqJhfK6rK3wgzXbOLgO7A/sOQtswyC/NT8aQFVuF7NHU/ShIWqTXpLZT
/oVwUsT1eK4cJnO1b7R2+aHFO7qvOmgncZp62myLqr5d98JmEWyNuh5j3cSnYuhLGPtLf04vX2zU
txIn7c31KadoiTJCeWhyh7+2v0TQRGpXYn/Ek2uylhKs7mk+FP9umtdNyzocNcZTNqYZ54H+2oOX
WBum6QaxtfMcx16LxX+N00Qw5YamXfel3HQRG5lSMgeRrTpVt/tW9U+T2yyhmVnpZuqKk8IyRu+Y
7pzVFW3IxUOwsTfmcIQVvVo6cZRwrLFM6YOpQB3eWF0/nqbGeygq3tBqKVZlY3SnwR8aMry3Hjd9
r4HJMtDegDp27qIZkR+ZcUjUlxwNKOIubflsNF4sB2dh0380LSQXJroohcqN37nnko7YullEH1C0
biJGBydarDBzLkEb8jfr5nXkTAPxhTd5N6ot4G+ci9HJX+Jj7LBXYVu2zc0mCaSWo8cY8sYgf4Ai
R/2y5AKPcr07w+ru2zFHhnHil2Km/ym4L8UQpDtt/lPkB2eRZZxS25rWQ1XGW60gGaE1vD/XxqNZ
Di9qmKKVAIMcuLMeuP3M+mwtP0J5u84iJjv7cx1O0KUsvlvFbK3uDtR+GiFG1RzfSqt57nLMFAMn
l9k/Mcdx63c4fOIo2URpB8VjNFeuL74vEycU4tBJet+0gsh0DybO64L+y2aKnb2P5eeGQcVn4xIz
Hjca3faaN8AVP33BsCVzRDXi61ZFHlCbrHjyHfrUpktGESyQG6eez5NF98AW0XtyhwOFVSWI5LIZ
Taz7U3ecx7wIsWXs5yk6ExfC6AtaRG4orDourxnP82tZ2b/doo5CjGeqVLDFyW0ecQRnp4YhqN/m
YuTsvlRn9FHOTpYIytm+RDmxdq097A1FDnqpHrV5MY4jXiATH/C2TndlR4k7+NavmVvjqnL6V60e
FnSunJsB75vJZGaL6anzktuBXhqa26cphuFgEBabJd681YbBX/dLHfgi4WxJ7wvIDEHMWl93IVil
PZ5JbuW5bjLf33wUDnFikbJInNZ+Y3v8zEX+NXTJwtlvhrLlcxEp4YXkrW+dpf+ILUTILLuM02d0
0CwynszaiwMBogyFgY6tzds8ddMW4xMr7E02ZM98/g/uV9d0/jpGL0CmRfTvfX2lSbZVdvyrevXQ
m+5vUwyv3tw/0oWIAjPT4OS7BGf5EKXaiO2AMC7uHfqoGqnBjsCSTeSBtxrLpWXLr9N1diPrFlDa
lxFJL2grfGKXblY1MJ7PTq1YE7uzn5QD/OFmtubQ5Qqq4josWbgjR3uzxvQPuFmF8tyqsNaxtTH+
nnS/ldu/kjOFGl3V51ZsjYg7J2s6dGV/V4oJ+nH1ZeYe3nS1Gb0US50uGnIZmDttLvEz2ozBLjJ+
XPOXhqa3SRb/qLCkrSsDNALW67TV8fT6yY2yF2OVpcmxqTVSK63y4DCtlldtGQ6zrW+wzdlUFzIY
Kyc0pIqhjTUtESztg8kLQ1jj8s/FTcemNGaik3THhMFrvx1Y4cO5yX6Tur1Ap4a9VWn83aRyCgcV
h/KWTdglA22WL8aS+LcoG4HqyR737NTYKLd6SpruzhoJggBTza+RrmWJ19VDLWfe2z46OVuhlnZ5
kM46wVVWfoCpd4/9G+ifauhYKZoYinAnnFNhO2jNRjbnYdGN26qctrLS4nWbU5Q1/a6uDOpWNOG0
Svn0VLXxkuWYlixAUdJWG70ZbmKP4PZYJ3YBx5Hha/3GLzTGlae3QnWbbuopAYb4TjMo+mVV/8Q0
9NqMMEo/1tK1NpufztCehT7sSr+YN4NBvVsMuYMeZDEsVEBkieTdEFtfjbiNLVZNcgJd2mF/Ph6H
WtiMuU/+Lxkpn4hfovVe6KCEihg4ZlpuLTalSUwZoWLzzMDKOZH6OZUjbg9j38RFuTWQB5zSuVOm
f7HyUI42LUGKM17XpjNfe5U+4bCkHIVDZQ8TgxqVc6oW6zGysgfBmrL13DHMuyX0G+Mm4k7OsGgw
1jTIiKbcZBlqJImdWdqtzFZZa2yUPPJiip0GX0xfopozy53WSThPxtYdBqoSxEafzIJVoxUHobqf
KJt+8p5eRbasjPahaMeRi4aRv6h+MxPnJ1X27zjV8PrNtaUXTQj8nn7ZDFihZdfuJF9IsjTsm6pD
PNPOVr08Jbb7krlqp5vWvk0oVbXBPIDfYdxD4NEZuSHavTeuDn+G0Dat3nDDAA0x+WJrt9xhdfnV
VWAD8y9hCXLY8j2i7r3josQVQ/26RP66mxcRJoPx7JPD2rb+ezJeHPFpctAkRgqMdqRAlOpgl+Se
1iYCd+k961Dcxqg+AzyacF5Nj+2EFjPEDMPWrnNkcIxAu6h5KBlkWPnLfKhGf50uNilKHELH5GDB
SaHN6m1tr3uw7PKz68kq03QX1j6GNH168gXysuUzVmB7j3IwKNjsNUsuHWgYCdhwxXNOQCfjJuDF
bKv7rPRxreFSbUkNVal5dgyXzFC4gRma+9hEu8stj77A61Ll9kokFbPpjPpErX3fWv3J7pQX0Gtk
201o3UprrbtidPpNhadHejgf1XBrjnSDY9opnfYNyYGoR7TVlewgSOJLNV0+Wkm/vCgM9qXuHgme
tTE1Gu5rSzga40upI4FBRbpMpIcag92971CUUChKplUubUB4UinYCT2eEQeofqP+o/WM7diJw+i6
8FAakiFz1myAFm6NoDkOR9mI4WjU6XhEgFho60lth31ErnqtUfuyF81DJrT8gW315d/XJ+qe+Uc4
Rdw2nQgWZJTERtDZeh/+59scqKlpQ6xhe74+hR2APoQt3v99kUzGGeu4pzb20jcP6DDtA3axx0YH
3nF9yiLe9dT6+u6fAy5HFQSYbvltk/W/L4SQzpS+NLX99TjM1upetcTXX171+oXZkl3CQCVta36z
63O90w8BDjsbjMt/nytSLzCA+pyvR8DumnG7ZAjadi7PQk3/+cLe7t4Tlbz5f88LagNQOpKG1n+P
N1oHioU40Cc1T/8+XRCtdopxGF1f9Pp8Uc9ETyX2HXuRbWO20V1GpudTG2Gcqhs53FwfOn6dXzLg
lk2qsvHJ7+Li1mzREqtYjtw5Bu+eDISgYPxmCCpXHaXO4nv9r3Pn90GMWW9/fZgVfhYy2CDW/7xw
HMkDWYWIZpcf2xVQ53Ljn0OvP8rzm1e6LuJ4/UkyJbJxibwYQYLD5diWO7bTWnB9mDJ5epS++Vy2
Gr+Hrp+t1ugfr69j8D+RMrr2cH0hu8LU11Z+tL1+d8jsYMbTy1RNUd9fv9hF223zjksLVFaSBKNT
w7qQZR9cv42jub7nB6a7jgxmVvHLMWW6JLiuaGr9+zp5Pyv2A1WISGFuh8FKz0jsybaWqrijBX9x
DjTNPYg6d13H6fSQg9Rc91AVHueudYKI6Zsnaq8uiKVTvAyob1x3tnxNFnh2bmG7b5Wyq1WhjfWH
6JpfQmUZl+yqV2/Kym/VVIwNZtZPtWBkL7z6b1BUFCU9FTocdTDpDQvHot9Fiopm1R1Qq7DkllBo
hJNhPyCamHJn4uilDhN6Ib80Im6tYWl/is69d3H4f6Uye/eqpPvU2RNQvfX+u0nvdpVnxbxNm5ho
FN9o7wmTh6tZuCxBl8Dl63Nx3jBSuWgUP1Pb3l+/YcSGyyIRNZvrw+s3uhRxKIsLjXKHl/rnuCZW
GweL2fr6cLi8QO2a3mZSHkS9//0Msp5r7NP00WzZ1kmwdK6+1SwDCvHlmOvr+/QEQ9Xa0z+/6vUb
VR+NYdXT07oecn19pen4/KeEfn/d4mdjIn23TDlxkbRAz6QFlbuxtTMiQZvkyGWmbQZNZY9ADNKg
M+zhoyy0k2k3MqZHfL94UfLXlvYnBm//VTqmRwTywNisdAtUFb+91araunVN6W3ZvE5c/6VJX9ya
3mQ0vdk1KJfE3jA9wAe05Mt95TbOu3LMOohjuTz4RlpvfacEt1P20w3ufi8ktTk6E2var602119w
FGYAk5K7Vs8fqsU0T1ZTAlqwHElrgl7gmCftiROHRlFc56ecrVNowVo45rkowrGFklJUNLjKXM7H
3LaG0KpwFVSC5v8ojPJojLMZQraJj4ZvOiEXinvIcwYBahZcrrKbCtNJ2DDav7PsLLmnGqGkM1zn
Oy5u4Eo4PwP78FU/xPPD9dDUXjRUmf8eqqb+/x1qMeb8oJPxHU6Dzeo75o+4p7ID2WehjGCbQltG
zrg+h+AZTm0jk40kLnTddDpdv0jel2ZPsnIWLRszXeT99Qvxsm5ggZPYXh8al+OMiUnc2GrssGFp
I7g7Q8uG6hPvzbRV//y/JENU9syou6EJ/rOQ5geoCqUfr//d0Phgb5hTYjfo7WpSVPBYSoaBmUu4
t6AKrzHtqM31OVl70T3VPR59iJv0hDju+pwrrbWcwTNdH8kkKk8gynbXR9cXYj7N32Wk52Fn5jWu
X2xhRwQ3cw39+xx+zo5WrmPux/8dR/9jbYK2O1+fanyvAunW7eqOCHVVFMNaNyXuCgSUYatlgs+O
OMhkwzQi85jakqNlmf3Z5baAEeDyJNpkHvzzuG87AHzouP8ceX0IOB+p6fLl35e4fqO24+Hs/B97
Z7bcNrZm6VfJ8HXjFLAxd1SeiCIJzqSo2fYNQrIlzPOMp+8PkNKyfbJOdd93RAYSI0XRFLD3/6/1
LVrqMKctMDBddaW4g7ydC/epFPMm+GL+Nzs93ZC3kkKJf75wPnFezAfwodIOni4exxz5eGQbO2+a
gBZ+qZ5b6j9XXlIga4Ea+JWqYUWTR88uIgdUoY/4cbKGhqNqpi+pyOzrwMN4YxfU0+f9iWnfgvuQ
b+1puFsU2GIkv+H8NDtkOVQofSBt2h3Swpn3Nz4zoq7JH+nimMCJeuJVQ1qXiU7krOJ30qEy+TYt
5tV6ILk07VtQ5rp0mHeVYcTRefttdd77cby1Ma7FifT62/5587d9urCUXVJETmdRQyX3ajj4Ynhf
yHJ1HTT8rqOGXjzxTf2zEmI+kPMo/0rT7ruu5caTZKYPtaLUO81QtY2lhL5jJyrUDxjwD1qm0D7D
4ZEKi/upp8BlKuPgkcRLQo25YaLKkJxKHQ4WlC13CNUVqnDuf2l/HooieRlyoJ5NJT57eiWjIM0s
ZuydtO8et0JpwYrKtO4Xcqd6WzdJmVrXWLsskTzltvKFfHLpBmB2dkgFmMHAHBEk9M26SPL4sZVp
og1SrKwlLFxfDXfJCyRO89iWXr5XijJeyxjEdlnjJQ/WMOwoRqZPSqdmuJ5c95D4bXjjat7r/ONG
YfEvWPTZlZkl7dn16DL00wXT+0BBSU8rRBuYGp62ASf5HIIkPc0LNe2bU6E1yGt1C8SBxCy9QCB5
UkWg9Yv5HLyc0yoybTxw2uF988dLzKcnef6YJHG2/XjpWEUWrElt7TQF1oC+H3dwW+zzvJVGGNDM
Fuz9vBmWqFiQp+46qzqbNATrXUUFBHWYHCyzQiofh5a+aphqxRdzpG8d9HH1lMXJIzKP7hsRzaeG
8ehL1RpYslKPBPtsXGQWNoGFxER+KkfbHv6WpEchY3naZLdP8InX+JQnuFxmFhDmhJIvAqKlN/Pm
x4EolhJykNFZtpS7r4IHqSVGXAVIfbQMv7DXVY7Et+uNauerzX7emhfzKfp03rxZTO4irfOol9Xm
ddDL0i618HUluNSZpbdAFATmq1UwHZ7PKSVXXsYxNdFS1zmHx+o3pvTS/u0SocTLUnj61dvJ/Dud
FZIl9FI3rzEM8SI/fsbb9Z2blHyz+BkVkoJDn9fdelmjw77xoiS9cacpRyCXaHV+7LOqpl5FlMCQ
7oCEw7kiLqVsWcdChOURL8sjc2L9TsZWBW/MuOSVCVI2RE9u8kU8zgd1qPYrdCD5Vs7RCdatmm9S
E71rXKvefeBmppO3wBFE2OOjwt5JeE6L1a1PjLsxRmVjZ570sqa/5r6kLUNStaz1u4TXchDIRsde
V/1VHsYYiFAK3FLNdHpe66Lqqn47li6FU1Mww8Rkx9wcqLuq1eFiPmqqdDqH2nSPtOcBjAZBfM4r
ozybKNZooZfBc2Em+zIN9YdSzU08FR44kDEJHnOJAsJ0gvnrlfRSK4rqlv+MXuTtSoM71jIfKnGh
t0TF3Sziuy7GoQTAM7gOXRdulFJntEhic9MNhjiEPCOQwyQNHe0wO3J/qzdDIptnjc/HMaNIvc5i
4u8CWTLv+glZBI93URSatakadxwWyZTB0JiDcqLVGVO4hLo17UpR8J/yafF2Xl1qGdkW0vsV85F6
GEhI7jSXCELM7fS4HRSJzY2hNv5tbsCsCAC9OfPmvOAEzTSaG0b2kwsI8NDHCfM+TlA0yoFUQLqd
azcaybStdzDSuDx1fpc4URLXDyIIv83/1Ir6Guid/z3ku0oxfSDoYrrGAlV00KZrYpOaQhlq1cOo
Tu2Dzn3R0rdrUjtWFsJK3q8pDHQpUZwesFTZB6Ue7AMtT/pbnaAhUYSpt454NpSkYXMonQ/9vsog
WF1JTbCO+yJpCCnQ8PGRqruo+O2hPJOjPnhAGBa6bLFMpx0fizoOCABG9Xo3YqR1mp7E9Sro1WOW
isgJ9FB6xCR/1fEt/K4H7UWrOvUR30JKW7z6l1PdpLmah66a319yO3g/9bdX1UaZjPWsiCgjPoky
Ve9lt8zvvPanjaB9UlpDvB1R7J+O/H5NbufdpipdRChj0ZIsXsk9z1gc/zREZc2ZVyMFIEAwLXI7
hDBpXclwuw5lNM3X5tUUBq1Epuqve+dtyPDlflQpWduDtE9174BlRNvEtIr3dOWl/bwf4zvF03mn
kvQWXOTpbJp+drqYz2oMpdG38wnVvHdenReFpdMrM5twkUPOeD9/PjIo3tfGLv3DwH3+4vGnsY17
CnNKUqQXN1XSy7zGKPShppm6/9jfu56ytVQa9/Olv56L2vT93Bp27wLGQQN22PJO80IH9Mn3KNEc
s0hgl9QN3u959eOcaqDd8fs582FD1oG1tATLBMgMvTsJ+PshTWuZ+vS0KiQUX/PavKg8nl3Ik/zF
x75WWENx+tiOjDFahwkcs/liLI6Qmn57HcqVNGmqyuB2ZdEj++k1GDiZy3ToZfQ1OV4tcH2tHVwA
GaQXT/bTSxEPJh5xV13Zg0h+PrCtWwB+H3tzVTVXdFrV1XzhvACtnF6qbTmdOe+oOvRhBkOODT6N
hKSZx5F244kwhGIxb2JlyjaVCmlp3hQallEJr+Zx3gyMYMUDUtzlthCXKNHu5t1dALu11siQC4d0
eKwUWr1MIczdfFTS5SuSNMdrgrK12yod317ajrXm0IVNDk+Ji+h4DA5cIeaj09tSYmiCmS6p545c
pUfhkkzyr+9Wm94twzB/TSepf/x4t/NLRrzbpALQXODS38wk9ITHxbrOPHTREyz9jY4+8dQ/NovK
x4lmI6GZj84Hxj7mzj5vx3L6JVbidDtvDUlx4FaJxSdWHDtkrIstMAgusN36VUU92+krc0DK5CdL
F1DBOWMoRHSSq9N+KMFnzWe/XWiqPtrpwppyPYKLLlXBBb2Zx9Siu47IvzgCkD80Um89yoIfP9g9
riPbvhRtdF9Nu1Mbn00Z0U6vm8h67Gs1XFKID47z0doIycQYogdPQT1da0Ts9J1kPZaYxtZpGfbr
+SohOsqRTRiebSm2H8bwOP9IS2rlI6RXOoDTj3LDkEZumUqbeXOIhi8jubMwrKr8rvJcZ/6Rdk1v
TBlJvm7aWDxouMaiwDrVsUrHQ5YxFxNkdSIp2zx1hU7vJVQMF12odjsMsQZu6MfhXkLD8HHJOI4D
N1EQ+zqPVlXHdeK3t57ftLcELVE6jBGHuh6bIG8IkOmGp48zlMa970I1Ps3nk3pSbdQWo+W8WU4v
OHVxp9ear+nKRF/CFLE3tqpv6mYor/oUvz0DAKT2pcRfqwwks1EN77t/3fht9p0MpwSdoDdlDWi4
bcfawujfhfe6UT3bqpR+j1yB/MUoPqtCL5waMuGRaqRxykelIAPJNr+GUrGaTy0s+nyik62bMSYb
bpADniR62d2Mud0u5p9nYFKMW6N4cnOkilLRMxiTIv1QYap0ssCwHhEOnOZT61B8aS0ZD6IwFN4U
FZ35d8jcrliazKP++h0i5lBvv0OWMKaaf4cS19B9kBbPyHfbtVtE2jqWo3GLOCBZCcAe9/NmW0bp
SviyuNfq6v3oaHvqT5tyJIotTaNkjduZPokqhQ8yOekreZDLM2L4blcoUbUFmwxHVArilQk37/Mw
tI9IoLVXqzpUsTS+1AW3CSDkIYZyrh5ttzxX1DOzBuBCp6ZPXVL4G3hZCfi7uMuPVOaIjJrWftts
gDwTM6zVS+YBnF0U3YA7ghhot06Mc6yojttLwZG2kbWMqbs68/7CEmiBMDqnR1XPnKzuiIzwGq5Q
7YDgF7u33l6g26mmRqqWMsXrmaZ81DS0oNNWEXqoeLJyeDvYlr7ilGULkWA6MJ8yH7VbkR1oIEDR
D2lQQQJbx6WnnzTqmydjWsybftwZh5FwyXlr3j+foST0j2j6mJCp0xDr+3Rtl5Fx5OvJ2if1ZjkD
2HG63ueA/m8DD8FkpaCzmEHo5ljdG7YV3dJO99/257G5bBRRfYW2gdu8/Q5tnGcY8pdrL9fcrQc6
aGP5cXobdTQ5akluv6udvAQA3TzJUJtWYByVM+hUEtCaOFj3hVQ9lLJy75VRB1KHoKwhtR/1kAyV
UDGjY5MXHRkg6gC1f/AuzDEwY6feNbby7qiK2rjWp4Um0C3q2fUQBsZEFGtOSDAP+P/QWpZaVO7E
yLDi4/ymqoK1XDNlm/fNl7U+KvwhaJLNvDkfkIPyBWy9vv84zURJZVZZcoV507iOC7e6slpp+XEC
ZBmGZuHw7eNlKtUsNvWIqW++aD7QNEG/imLfxXLBC837lDrtCbsOkt282WausU6DHDWETDaO7emP
FlO6Q2cjApg3q2HwHUg18nbeNKPsvqbddcFM5d7iUF9XdaM/5oOHgc2+UfpQO9G6AMHvya/IsORN
WOZMaeZ98yII0uqI5wrbMufKY6au3bHMd3WbfkELjPXcdsVKka3wphtS/aKJ54baAsYZ4ip2YMyw
vE4HszKLbmQtkFcy3SFn3vd2wM2/qINQDvMWKEX9YqfP8+nznkBX5B2D1p9fJ4wzGVVELTml2bYY
Sevqi4eH6u01mFwg1y7GL5hfrGVp05kOaf0r0w0ogPd6+7Hlum9b872qh3Lxcaz9ZevHdfNN7seZ
83X0nLpb0dGrnm6AP858+3nTsQm48zfX2b2H+tHrdl43RCecjdFJj9ybJhnaLTiW6PSxf15721f0
NMw6lA2c/rE7LbnTL+btamy/xR7CfPIZTm6iZ6d5bV5UxQBTRcQNAWJ/HXAVOeh/2tbMYJvJXrIP
O3Io317m4xXaShocJZzYfdPrz4v5tRgUtItPf/zHP//zW/+/vZfsksWDl6V/4Fa8ZPC0qj8/Gcqn
P/K33bvvf34yUTfahq1ZQpVlTKS6YnD829NNkHqcrfyvVK59N+xz+5scCt342rs9foVp6tWuyqKW
73V03fcDBjTW58kadTG7vxJGhFMc6cUXdxoy+9MwOpkG1NjM7mxKf/toHmunom15wCCvnU+ZF1ZS
WMu0RO9bLKSgsxmoEBIQr70w0s7lqKtvi2RUzhq31j29YT5raEnaGVV+vpEUr1l8nDcfoOdGgGYW
gEzOA4qierotUqs76WnSn+Y19cfadAbklJRhHLpTn6nJyRXKrg6a7DoPkNK62vDTlp3KO923h/W/
/+R1+/dP3tRUw9AsW1ctU6iW9esnH+gDOj4vML+XxLieDJFk566R4zPpFtM67u2K/sa0p3D0gWQy
ZBs96JBp8b47LG2wgUXlniSam6tEk3WAN311bQdmCUKBfb1r6MhJ5dbH1ffXdt6U34q4bEif8R8K
5PpXAd3wB1k8xFHd3KuYpm4itNzzXqupw5PiYjGcN2OFpkqvSsDzp2t0vAeOF1cl5v1Gf0BrES9H
M40P89E0i356/T7/6fUlVd51TYnR0lVIPXXdGlhH1Z6oPv/7D9pW/+WDNhSZ77mpWQqWL0379YNu
rNRiwOqlL1REOngxfH7zJ+wlNh+qDsoCYx+0vPkz/jjcZWBRqzTdv53nVw1OYTiie18byyNlHfyw
EV+4xBgaQjOnna016YfnVdfVplVTvJ+V68ZLWzDuKrzc3sGsUp3Wqsenul4MFfXwkYCYtZyIZtck
mnWnu8plPp4wy6FiLnKcnK5xLsEbL6vWGp/cKrrrqTHfcQ/47QVj5Ac3sq0iNFz2MdzSUe8vrWn6
x6bLT/MWkMDh8r6/vZDzDIGvzVN30aqQH5G5qCtX+ziFS2stfbtUSFq5GhmfbLMQlYcPOgSEfdDf
yG5xN/SKQsBbSy3JqqffxZM+m6YzNLr8RYb+v0UsZLxtGkNwTvGw3qoWIUFBpicEpnL1373qdHmp
wkKYvxr/8cvtr5pvh9+yfCgDz69/2/znXZbw339O1/w459cr/nkKvpVZhUjg3561ecnOT8lL9ftJ
v7wyP/393a2e6qdfNpy0Durhunkph5uXqonrv27j05n/twf/eJlf5W7IX/789AQ/izIr4azBt/rT
+6Hptm9ZKs+BH8+J6Qe8H51+gz8/rV7iJ7QOL/96zctTVf/5STL1f8iarWIVNXRZtbGaf/qje/nr
EFEjmPoMW4HuI/RPf6Tgz/w/P6n2PyyVHSbfPN2UVYWLKpw60yHrH5rGtEDm9YSlCln99Ndv//4Q
e/tn+/uHmmaav/zJ6xo+O0NRLE1WLNvi7cm//slHIbQvZbSLLRAPrAVtvh+VtlhbhrXvdN8lhE+H
1Eo4xQKPwUR2lVrD6YIi3Spt16+SwqwJNgY9qSsJSDAYN0M4CSQVsruHyCwOesjUfi2bpBXm9OgP
UDIJQsA9RqL4JC0TNRPDEuArf3NVJq0l76tl5NWqhjG2rLASHQLL85bcRuUV0QxPPJupjpvGudMH
9Iu5WAbGhOsk49aXNUj/lucAjn4hngRwVaVD8+VXXAJGxlpbfdZ6RIY5vxbsk7KJv2pwGPkDbjZ9
j0x2GAwgNL75MKgkike+izO2lBz4pJFTCtl03JKbzOiiO0114k11/TYL44PslRjUmgkp4foj6X3e
Bi3fJjcDwiKI1nIGCz5S0u+sRh63JuKntVZFF+F5dA1j5dbigYqZ7OiGSblPxgFb43DXZG6PrDn2
cRVQDyP0vkBsbZpw51AFkwP3ZSRB1sJrvxyFftt1Ind6LYpuXc/8EjCyiqE2GfmuqwlrKTXlZUwn
yg1kK6pZClRBe0LyVfTu0eeXVfC1yRxaCAKTfBnhUlCAmwY1+qPOSTA+IClPgCJiRDTk16jDvY6o
gayKsL7NvVxdGBPfaI246SERXrwa+4qS1egdfMNYtpb3XZfIH0ldZLiKL67LVlCAayryiyOfZ7cP
a4JMwzVVcXFmttWtZGJ+gfSsYnM/tjIWTSVLTlSJF4lm3LluikmeYhqG0+Gg58G4tsPiu5Lp+kIv
qFHigQSgFDLe4gcBHiJ/wqwxIxfqohHiGrXxYlBNMhkaHtgUkv0+vW2DOlgG7jRMr2u8SjkVqijF
5uhVu2iiY1vJMSNUWpefyzy55EW078Eg42UA/R3S/sQn5321DXc35AYljyVlxl2sqtfREH0t9BZj
e5bdNlHimPg0HyKQPz0+QWguMGF82CByuUpMadvIeIiZ6ixz98priqtehSlhhsYCrcsd7xj/sF6L
ZdU0C6Q4yjphJo62c4TaI3sN1SZctcirk14sywZJeFt7GYwNGwZH22+zrtPw7ZvbBlU+XOWuR5JG
uSlB+aT0KoinlOaWWRCHRVLtLgi9O0OBL5bWNaRZOXkNrRu79g8VNisHb9SVq0l7VPY4D0t0soN1
25RVd2WUyTGRjQ1iiFuoRPUNqXu487B9KqX/oOax03fBK+JSl7yLXdzpUFhHQFM6wsDKQIwyUHVT
cbb1Sg1w1rpr/JMZG6UTR+4yI35tQ0QFrmEbzxQhEEfDjUzHUyMgsAmKLBPZ78rAIV1F3GqiEuxd
/gxYz73oZzX26z3FrLPJTWedT/c2KRjh4ruAM1zlcej6jAJCe5MEYOQFHc7WDEGDDdBn6n1FmjJI
lBLXQAZ/AiOD0yF0x5vRH1UgP+gqbOo19eA5vpqWDjNkbZNkKIEBUuljG99Yha1tk4DImGio1m6k
0jNoaprKPt7TllhZ0D/4LzKwVP5thkGLCNz0tqr9ggZ+8kq6hcJ03SPd3Qc3Eewlxv/77tatQghM
ID0AniqQFW3lYhZKTKW+O7fDtcAJXdMHwb7jG3htXbT78rcwaKlKC/1hFCkllmaCAmkozhvXOBha
ah7CvlV2TIQZg2EP8nImPVhCm0MuxmTd8QbUoi6JKhXlQXRhhJxt/N5GPdYYvJtD/4AuxeLeMPUZ
IOCqXl1vhya4NjF+bGxoQCtoPDw3zNI4CBIKaRx7KzN5mDykB6H0zUFWelCSMcyaREatPxLrBg5I
WZIxbaOML6Ij2E0cooNPt6rdTCi+SU2GPdriPkry/LiyM5JKUrhY9FOrV2Hix8ndEZUMms4DNWId
J7m4SKmuH1KyFJeRlEpLP4Yp7seNvESmCD/bMMNt2o3nOlTSrVRmJ8h58sFSEn3FR0HaAI0Zv7Cj
o5mqj3YzhhsCM+3DgHhsq9oGjA9cKmE6hI5PM3UV1Jrx9i7K6a3M76cYX30zNPfzBrk7/ZYv2tu7
TP2oP0RNHWwQpUNkEPt2KPTkfbUIjJ1VP+h2Nu49Q73LZFXQ6gS9gVSL0rC47lXo2jH8SH/CkpuV
up/XUqGoew2+wgKJq7zKxvY10WEyZEhnFiL83ALy4YuOMQovAioFKNvyoF28VCPswB5PcT2Ivaem
KegezDmN2W86aTwVvay+Tb///wD0fxiAKjIjvH8zAP2v+On5KXn6efz5dsn7+NPS/sHAjuGlbQlt
wi0zynwff1oMJZHvq6ZiCYwDyjSv/msAyqiVvGnTtmRVMwzTZtj41wBU/ocQBDDYuvE2pFX+Xwag
yq9VFcafOsKe6W3g92Aw+/vcPlRyoVWqJm0BENhrQfTuUh1tyG9dts29tZLk6RYGrcwgc/LgwNha
jq0bvU1vfpnd/Fzc+du3wWjbZPCoypYQv5UYRlDtQzu2gCLzbGoEC+tAjfbZrECpE3bhFaEAo5FL
Dq0sc1kTB7LyRa/+DxNwhX+Mn2pM86dhK4qqakK1TYat0wT9pxqTpSlhZbequ5VLLV+5IJkn8r3Y
Se5SJdex67LPkeFejMD+zNSVFJGsXuZKAg8opflVqS0OcDoizk/fqL8pfSmaNhW3Popf0xszuUkx
7VAoDaimPP0z/vTG8G3qBTcjd2u2uHsSuck2WlhcKZlvHRNTtxd9r/WruX1fjgK5BxPUVR9ON4yi
arj5t0bm6IZmbFzSlNs8s49KH5dH09xEWDaPIFXHrW6Ty50J7Tj8WMS5iXVI76JVPliDk3aZTlXN
768QkA37QBoeXbR4h97FKKgGUnbyBmT6Ria/SIVl7LVr3bspCIFc2n23GSbEoTR20o54uFfbtXpQ
B6BlUBQ7VV1tEfScXCWuHENW/SV9o/okJ9X3ticNfOzyJb92epLD8dZC3LqWhm+uV0OJCbN1Xzsm
Cs22qzeWGWeraCCHPNopFv2utl3WRqKuC6k4m+F30tKBVHc+yLKYJh45IQuVtjoCw+4OTgDTlaYx
nMo+oPhZhoJOTixrxlqxw2ahm/igre6YBVG4K3165y25DNFgaWv8CtDjdpaP7iHkbUXJ61DIRFzl
RK6rvv1ST/8gqY/3InhMdGPY9HWTrEavxcxM2klEEtKyq7S9jdacp5O16VrF3RRD8IIIxlvQHmQa
ULya6XghMPNSEKQSaq5Y9G1xHd6mcfEMd6ek4sKzNswwYTGfvcLdsCBspuMsvKmePix1FeaAideK
5IINqCpccA1CJwmWp1oSPeSWWzONGO3b+q1CVXAjlHBHMGY4haN3ixxckp5095aAjUp8WONIPU3D
vC+eKW0RxnVRRvOrZ47SOtdVsZB89xHrUwyNkvAVKmnXdV+fzSh+UbRBW9QJapUyGc0lIgNGk13r
r1Lzi5LTdIWfCtAiuArlZ6/NVbICQULgRPKTiD+AXoaF2r30AE902pxQDGwYumjrFmEe48myGsA+
aX9qBgWrnteoFy1JIf2VUO6sAS9BWQL/S4xvg6fQIUY4tsyG7jU2hLaMUI4v4kayFlQV3BUsi2TD
87VeqwFx0qGW66fULdG6de4qKPAN5wqCaztWiTNR9ZVvaISw6iygPUyRONMqeXc/L5La11dFSHD0
fEDSi+chiEcHaH/Np+lfGV6lr9Gx1vt5V+tRqF/M2/OibtJ75Pr4kX+cMq9F0/XzFR8H5n0fm/Na
qffjJpT07ZzSQe07GJddrz3iCzfeEmbmdJX5qDalzmhD/EhsgjIywiR6pgu0DHLbFEUzn6hg+Qbi
YxpvASDzOUxO/BE7DqfzlcEByEfKOFBSUPlOF77tfFvOZwV2hBiiw1Y4b5bTlfPavBiNxmKoPl/6
0zsZZNnfuoPi1JUMu6lQwrd3+PHeLCw6UHPmtzDvHeY3P7888Bne2LxazG+XWwigaAy8mhHDzwvt
lwbrJq43vp6Spzx3EUN8geRo4+k13QZAwrXvWWtQoRdQY5uukyk3gNMt+xIrWN/eBVr1HblZizb6
wTDEMU0M8lPS9pog6gdNbXD8dHv47YQb6IBz3ZxKDT2CZKuOFbYK5s47iRs7eETPohdebl3Zu9Ek
Qzh6ACmeudENjJBFaKhXTGHt7VDU18KzwPqg2gZn45iNT3mgKrWVP9EwdS/HvWwRIZwO7jFNv9JZ
O/W5BY8hxCrN/RsOhJ2/1K1JWqxRblMVH7orSjz1eghHVFZu6TQEm6zNz1Lv+vvRj3daO4x3Qs02
rlR9Q+RCXjBt1zJlIkBzKeL2XFynKB/IqSVsIve1BpMEUCQAGfpKNgdpEQy5txpGevu0ONyaSoPc
yRUUFfKIUSlDRO0hqAaD5ZhBIrj9jldY3l8K/n6/FM2V4VPxCiR1XNffI9Mzjigsc4TeaYj4oG+c
pp4eWmCkGkMbgVODlmEGvy5gwcj1OiHkgSZWANo56+8HQ+Fxlopy3cJwAz5xqHo8eObobRE8uiuB
/XgdNN/LLnnRxvG5lct7XSrTG6k1i62Q7K0d8ajzUEJdEbQAKM6rpqTSMDtor4z37IULXT+DUcaE
YIhRJLdPVY8ixywbZamaQeYANIAdVYqDH9HmsuU9PiBuABCp5nJCi1NdGgGoJdBmFkXL3MptVoQw
WzIsH6Hg6sxz/zXI2n1SKAe9pDhj5d2auBwnL65ARXwO4DyshAn20yyaPeQ6B2S4CkL9iUmYOCgW
05sgLvotit9bpcEh3WpY7JQAV79iPIukeDFIMwd4URQO4g2s+8QKrrL8oBj9Kba0cQnf7DxKdM1G
Hdu7kKCy0hZbgsNd2DLfAFGo68pUd0qobwddHKN42DDE2MrAK1d8sa8M4Q9r2WO8qRlevhXZWhGA
6Zu2d5hwwgCvyf/LGM3s2v5lJA6LGo03rrEFrWHLfA0yeQTRGQ8Lz7+Og+Qbf+K7ln56EJlUgXId
vGaygn9379ZpyGiuvDMoT7Y3lqY7Vg+9yEXqKJXiqWyZRfq4C6Qc6VFg+Z9VJqqGbIGyS0cchPlV
OIK7KlqSKgQPqN5dRjbdw5aMy2NQehfZx3ihjzetod4MCQYJV7WWpkVmI23NtdR65lIYF0Z+u4hk
brK4sq0U+DHxXv1NqSCNMSY7ujSqr6gu+G6hGMqghqRmQmE1B2CYyF/7gqm1b+fftBS6NMS8ejE7
CYuAp1gU3HY2Zmu7RYeLcc48GWp+1YcUaXj8+MB+bId+pbTod1AE9yKxLpZZXCoDUnEvkTU5RF96
tzvJmvlQRtya7CRboKInfhlMbjdc+sDjgx6sa7esHF1p7zCQeXw94MVgSAXrJsG7d7EQu76Pe9bD
nmRC2A3Jo0VcJ7a52T5CR9WXFljIUIUI1/pUX6NiXafEEhC+cTTAeJnYpY02gMo7HI26BwQuycc0
howwts2hHG/E6AvHElj4PDf/mqvkEmB0ewjxkiPHVu/M8WAFE2LU9U8yGKchNF6sXn4aeioP7r3k
G/tII7qcIa1PIB8h6iUZRsNRs63vaZc8ZrkKZDrYUlxoKKAg6IcACrCPelYMcxX9ZnKOC0N1AqoN
ExsvBkTMvrfDSmwwlqKgg4jvruAhgwRVfJ7PcvOkdPKmJ6aJx/8Z7EmzoeidwpxA8eC5MDgIRk7P
IyFCR9ETAesnwxmCiVMLKXFiwvaAp9oTRpKsnqDM+WsU4IXMwqYshRYFdnu5dC351dy2WTEcVSjS
jh+kSM4BXWM6OKm1QH2nMNLLCK5Zm7TDgzwWS2PkkeZiRj0p0l1gmvyG0zvR5Hp0jMpNuKuafHxU
Mh0bxjNpy0hSGqrBcvDq1WNKETVjASp+obXtU+eXLXQym4jwjPDYyOrdSWZPKBD/3iP/zxBD1oIw
XDsXL8Lu6AlL/VcpV1cxJESmSO4xrHtrl6AyrAIYV2mKB1knH0GMzdlKosCB3PkqScZVRMbCfqy9
q06oKg+9Wj0r8MBMN45PzzIeWi7JdnJm7ETWNnRdypMG7xFavHytx0LeoSpKjvmQrHxLqrjWhAU5
/SPmSUKoHxodKL6U44dKGRyroKqc6+1uKCmHJgGFYZgnjVbYu7rIAf0Se3GmUtWlbnQmKKjYKkPx
HGTeXtUArtthF+3tfrxxm244A/lBMGkW9HWjV9/gPdrkT1UtPybhmxWNOv11PTopxJ8xaNQfi5T7
PrryrSKKFeHYXyydfxUSa3LmfpjmRUnqRCRveS4Ne98i5zhSXMxpZbkkYNmlV1roPPvBPigkmiVV
Vhxs6nppbXXneFrYonvBXqStqQUyNhgJzB6Shb7FtM9kqGbkopnRsJTpkdO5CZ5tr++2wEmpypXZ
KollLGJiJHCuv+j2M4Jcvhbdfl6005qU4bVAXslq1SijspwPqV5j8ZBiRucX+xw62H5eC30jixcf
2/NObY51m1dJKuI4E/n38/92Z/V/2DuT7cZxLV0/EWuxb4ZXvSi5CTvCDnvC5XBGsu97Pn19gCJD
TtfJc+vMa4IFkiBEURQB7P03prdJDTwBir4c113E3baFJ5ysxbBz/nlTNkG67Ffj67nytOvmp65c
E/nXKcNPQH6Q7ID3t4Xx2jEQxpSK9KSUFpW/i3/c5xYCuvuvzquhkMd2mZJdIzUhW8jCAS+IkMvv
rvM6b325eenr+lGxtDCUh8zolAeDeSR/06kO/Glx+ofjoSkEo+XeVJpDyqosZH99j02IO+toSjcd
kD/xmWkNi3Qrq9nQHrNQ/4Z1KrOCILnDqitj4mkgNWyhvlOG2h2GSd6qI2SPPlGFXEGIUkORYm0G
CSrY1KSp4TGRcEpQ9JnQkG8WnuoedBMeRDD+TNJXOGCBZoZrvasRELqB2tbslKiF8iM2h1DLbmIF
FxIlsqbdWI3mWWuNJwLH5n7BGnBF/kJHnBwVzw3x8UNcNNrRJYV9dsAzLmrziFvqGJnJoYdqeE6i
ODtXUSOM0BnDNML+y9gOR7dR7xLHA0+xWHNznrk8HNL0aDejB98t5Rm/0W8sxJfzUCjLWdbcRmeS
UHqMtOKAJorCwDaAyQM0v/hXs3DRlrNhz0gjaBp2CAYaSFzJYr3EuV3cJPiArJaZNUGbqqSjDJIQ
3aJt1Q4RIRLi/pAF4bkThUbsok1C65jUtbaKkIvfZLemotzorFT8ENeAk44KDAMb94gOWc4zvCzl
dOZtirRLmH+tSbDzXqZFEyrjOVVGhD6xdQQdj1epgoAyy/SMCMMUPzl6U2HyhJoKPC5EhcziPfJQ
5gr6atV6bX1wI1iTi2qdIEMegpqV4ZJhA1B6Sb63p/gtgLm565L4e+PZ8R4/PfWsZq56ljVZGOMM
6ddSl7WeAR9JcBYg9qMY/ATDkuLgIFtVs1cAfc8xSwIPdarzwj5Zhob2sutsZs1591jOn5E1gxeP
rYQitnrxpLC+IE5p2gMj1V/7IofQCoyydhgfKlC2q2TJzbN8sGTNHcZwl1ikD8HNzkwcO3AvvX2w
8sU4e2Nn7NMkeV48xBg3GLillnZ2xCF53B4r4+wC8Y8yJn06XyUe8SJWy+WIfoFfzWV3UlSchxwL
0cmJP8lZV3PlLGtZCL0EVz1sF/IKaaez02F0EPcWOHPDUoptltXPiJz7jY1Gmy7Qz1Y6pGdbz9Kz
4XRgXPaeOWk7uRfiW7OxjZwIT+kmZ+d3S9lcFo57Suz+K4HOdNfPaecbQ+5tzJmRGLaoeo4E1toV
97ATD70stD4u14umVYytFQtBKzkt0firUOKQhLXcvlTRRZvFqh1zAmV5kgd6cUqZ9GT3PzSUVdmb
PC434chCME8N7fIx1wPXT5X7rpteVxsbeIzw1/5+YbJdZbS5P/fPRuJ2JXoDcfrh0lHcYAlgejvZ
9HJ910+8Xl4trzwbiJwF5ALW8sjIw4WVjLq/tpO1T5f3aVM2+XQZ11swdPE7fgI3Daa3+9DMVMZd
FOCsKn1MMfByxwjIHkl5rAHi4r4k4HwwKuM7btrKbdLoxTok8gNvwYzXmPZaNx76m6ODGmWAf6+h
Tu9qowDbgGi2glrabwor0/wy0/UzwUfIYrg8MKuP5m7Bd/e5ddR9Rsxiqzfpu848dwuCx+MlxUrX
RPYAXy0cXUPisZVqqGJtid1wsY/LzEEFpXW34zgtvhnr6IN2FU+wru3NHvxnMasg47PvEeuaPdEN
lqMGXvZs6kcuAoHRlumg5SXuTtFg28zhzRIUr7k6u89D9FZ1ZKubScOtYJU3Q0MWcvhSIDS96kBk
Yp9KmHtxh2abFulLpDAsY6qMfE5NIGnsjffebN/TPjOPItKBKC4OD92UwL0ZXtrAvc/BHO0UE64J
Io2J9sw6zTplc7bFTN7a8j4HhVBqhFRddJZrF/uBPvIeA0vV12Uy8ybKXRIAEyYnCD8y70elEbvA
JWhZOnnmD+jDKBup47HgL/igl6lFBB0eUge4fu+pCGFVCDZMDbsKeAtEg6e1ZkKNW3r0E/RW/THW
7WunWtoOCV1SlaaBdsz3JbHCx7xN98jH2jsekptxxBu6NJP7ATbGzmmmO2jIZMAJ6PBXNv3ssACT
YQkGYqGzmy+q122bFL/CflCKA8ol48lacLeL79D3bPewV/3SM+3z5M7LBm8VZGIQqr7tXpPAds/j
MFdfOy/2Sdeax3JITFzcgnZN8MvaRbDW11pV2ndmz3KpzM1iZbbLbhgq60FLQohOnY1XsH0zKqN2
E2Dem1S54SM7iiFqELmnOh5/6kiu7SnAQc7ZfJi6sd8SO0vRzVwWQEi6skKJpiXBHipHJiToseHu
nLIk3qq52pFcx1IqMsFeECNTvlRzdEuCvD/aRU6Uo7eFJ0OlH8o5+dOM3PRONUvQSjxRRNrwTojH
PcDJfucpOMnA/bS2fTb+YNUH695etqlr6UcE1I6pZnf/hzr8X6EOwZgbpAb/GXZ4+3N4++NvSd9f
p/zK+mqa+V+qYdiOrZmOaaue+TvrS6b1d5rX1EnzgjT0TNNySfi6pPX+SvOKDDC5WY6bpEMF3P0/
wBlqlvkJaKiSYXYcW9fBQno2eO1P8PmoQ+2oaCrjJmLITYbG2joNyReU+weiYz0uZQq+W4B3yPG8
9eAn1l0aWeemxk9q0ZtvQSmilVY47Wwl2BfCsRQhqgokxq6zNeL8TY0yto7TnqJNb1o07KIAbE7f
t1hQmxjpqW15HJTlkPVasSsn51uTBzMsScQZPOjBvKfQ9Hd9eEDtzTDbK720nA3skhlrsJi/tbr4
rREhewvizeghPiBI/9U1Qm1f90G3Q2M7XAsC7TbRh6MKu8jX4OHvtH5qn3jJfbWM/qnBcvPZ8Hi7
IU/iIYR39PoRl0+glGtyyqXvmvUdUOhgNVuIoOMA+O4oINfBuwVr9Ce1U6DzBlOhMSgulp+IsWw8
tD9PvY25nZpkiFejUpbmzQYr8GeYXUgSLCcP+1DQTdVLWbb3sTrfLBWAs3FgZq0jGOdGOo6vDdZU
2EJ9SccXK4hJNmooBWL1h0P1oj144YB9gDjDDhEwZ0RkHuuiYupY6CDazAHXjF589oTVV5OQ9AzS
e2uJKxZPebs1dtoY77U8Q+y2NrnZ1Z99r/lNqfKa6bDgwuV8txhFsPPMP2ylArqNEHgWGfZpxFL+
lomYraFK2lp3I7qV2yK9M2scC2qm9xvTG//E2O1lsvIaOZxwGyYxNGU81uJ+ImGGpOqmSQjlxUXW
HpcAJUmx/LCKBqCYAw3Nwo4zGsm8QQL21qXaITjb7Yo23eqdO/hDnyf7mAzCygAev0kWbFEHRuiq
GdMb5u/J1m28Gxs/BVYVqbHNQg+O5uAH92GixDdZOuBuyL0plwQ98mBTQd9bLRgG7bJx4H/gzj1O
XkVakXrIMoCF6imwyu7sPLp6Gh5C+Fxru//TauBG48X0o4jNdI/uGJo+iWfj0xGNqEGrzyHKajhj
4yRepMFpUb3yWGEATN7IJAE/GLdG267HPGzQJyU+Q6brGblIdCPwPiCyf5pwCMlASZwSI2EUZt2+
0cyCSW0cfvPsER382uCx7VSgCbl6S1qj3UetnqP/OQ03Db/iGPfePop19DoVQGB2bWQH1ciO9mjh
SdM27j1XTQ6bdEE4ZtZ2HhCVA2T5XMZJe3bLEuc94ysAvZ6USvGYhcU3VVUAiQFEOiBV0IIrPaF4
GJ4aTamweG8cnFhxz561cXmyYxQXsZJU3hQD15cRHaVM9dptpfEOcYMBP28GSNNQb5u4H7FjV5yd
G+fPupOXN7nulpuqZD3vOIm1Z/Q1iOPh/WzqiAjyuipQYDaabRguCgB97aZT3f5n3Vfl2VGD8wKk
eQdSzEIeC1XoFvMexGIhcapKh0eR4qr7KChfkHYLTvAApu04tSFKp2ntB25Hfmy2zc2iTNld4KXt
wXbiAHCzCYY3Ix+GZ5LLJLcdNlanDFurbfUN1N5+W9sREMoGqz5lmIaVqlnaHl3aYJPkY4iDXIDa
gZl87VkalQAi1lj+kV/OQXeXKoCRsF3u+Z4dWNidi2wTIFwWcmWSn6EV2pciSxIim8GxRdGzRp9k
r9g4lWhj1915xvSTTKr1mIYoNuZJtw0rkA89sxfLYupbq/brrIB/dMP8xLsf6wYzQDcdvd6NVhCC
kQV8o9bvo3ZkzSuqclvWUJljLhe4/V/H4SIjfC625fHr5qWl3Ok0Hj3JQx+q8tBEFHLXTtq97EI2
kfs/9YjHb+kbqf7NfdNdIO892AGfuZY0t7P/qiol1aiikDXZSBbXc1KHJwJ7K9q4RIkzFE3+6u56
znWfPFseEKF6EmpWsJ6dDOSd3Pmvr0CR1yUbXD5O9vKhejlNfsqlanjJib87VgS/L/5D19cLk4cv
R+TOD9ufvqc8PDVBuZ5Axq6v/V7btc3wOFuAVj9/1OULXr/69RRZ+9xc7vzw7f75yi5nfuhe3gKH
sN3y4QqrChaChbnNqtEV7rTsXxamXbfqVvb/4SLkIblT1irPPFaIPO55Bb6E1qBfTri0moB4pgGo
085AgYKM7MKHBNZNgsD1ugxDc+1GMSngCbFLRSt9/CVKn9hiiw1R4fK4yL3XQx0YjL0dIBwlWl/3
y5olTpY9XI9eemnDhr4+9IiINigVo/WnOq1Po7pFWoto6uBWSESLqlITgb5szzGYAKHrufmwk+TB
cEzL50sTeUCeF0SztpvUESBA7PEeUGyRO/BKbVvMC6/+KN1krndCAKvy4XLVvqw1plv5Rm+0qDln
ZMtzPyVvG3vBJNzAmstfvZKvgkq/1Ttd5x8J99xbGK5SfjPmwMXRbb112w4/nfYnb3JzReDvFWUY
gnmaYxCtE8UMkeNS2H1Y/svNazt5Gr8Glg8DWHzH6Q/TBNSsbZ2jWeFKpE4/ishrdk3TEhDwFpKK
pjG+BLn9iOch0BwwD1i28u6w40pYE/ORcrMmw4bueoEz3t5giuO7qDL7qqfYvuck7RpmKcZQKHT6
smhFzS0JLq/yfAhx7ULMHds1GmeDr4qa3KwIpe4HtzyS8olOshjL1FuHM6N5OWhKuWIELpAqwPOM
qZuLe6Jb+LJwFlAlqC+DIF8Kf/pd9LHyZ6VZ4xZYZFmuPGyzCHfa983YxqfZwAFxViak4it3Y2eB
csimlLjNUhxNWIYLYBsLwoVIAgwLU0ckQBoyZGCOHQFBVkIFh5IxUTeRocNebXR8okj+reyhBoNl
3xDsqBnOuG/J9JAT4j1GVZTpWyOFYmTXWAWMEXQLlVUqfgq+p0RIY5snxxwr5sYETDGN5NxQpxC1
EQ+RxjDKA9rGpT/pZPsyTS23BesWPw8JN9aq8quGiDWTrNK6Afs1+PI34MmuuwOUDNwHMg1zY3H/
HVGMHSqINdD+hT+hCj/QR3ksZejKjIOKnuNeXsOMt4qfOhZZ9VFU5TbKaEwNmOb1Am6ki1/EqgM3
P2hes0ADMcJ1J9BKXj7lHwrgB+68NnLzdlQK9NstExyRIp5va3YBU6k6xO0k8tamePauD6Csfdo3
d322iSYhQyPehp6D5ZMS7vBO47k2BrPydfGVPmzjOhxvWZ/FuB+Kl4stvvfl64ibTSrl121HcwrG
DkKkG/lMya8nHzhYTvw1L7+DeNrc4GhGjnpULSv35ReWtWsh9wG30FGaNL4HGnj2iHChz/qx8NGQ
B2IFGP/XTlAew2ro2noj/3XyEZK1ayHvgdxkNGG6mpjgTxmdEcqo/LBmyJbFdXPO1JcxDDMEktT7
Lh6tZe1avLkuVcMEJTq4lilEGmpfB9LlJ/KpFsWnTbS9dzm6gvuuthpeZuPHYiYjdNkX6m6957Hw
XeKE4DxH/WenzlBKjKDzZRFFBKangN+rrevgYJpYArf9nxUMcDRveJ7k/RvE8yNrct91s8sKv9VJ
IgUWyNzesncDsUMB8tAxpYR7YPc2CM8KM4Fk1OtsFVpau58Z8+QXAuzG0klrN6MKirRoRSJAC/Vs
o+OvwD8LFTEosLvEbDaDqt/hFYFS7ODYfjybQJZnvd+kkZqdJrR3wzj5Oo5dvA1buEFaYzZg3vgC
4K3DZR2IFzoo9oP8Fpe/ArrOQwH0I8PCazPWYXiCfgBEcVYO8unojDzdTVH2NXV59V9+aVG7PgxO
bSS++VhMhXBhwo5nEmsjM3tDTdLwEeW2To4oFBaDSt2B9CzbBkSgGNW8MfbhSWGU6GEuU7uHWI12
Q9Q/9ZWn7MImw84iAxZXD1GTA4iyznGPmaCMg3cYPO2dtvpSpwASzcXBOybOlJVlmZAm677HKFzN
1qAGBfWoxLNw0dNDBORDq9qjkeg9C4IRq3XxsuhMXmVmoALXkttagNs6pLp049l94BeFOqxNza1x
umbarIoJ9iRGVYj2rFR75clIsCLRh9sMM5Ot03r3bgL/z22ar6O9N1j24k4vejdLdsO+ctEF4XNH
1DeI557zwtmEjhDsmiCQdR0zHZtUuwBDNmKcb8em8iMNZmeM4UEFeWFZy33y6JJE07ppu6+RSHkt
S/gtIAK7AytTnlrzxwI3xdfbUDvlgNMQTPEnVEf9uB7Au7U6Lg5k0si8gtXDf2QrL6xwk3bfp/q5
9Mq7hrjAVl1AEip/Ri2dRhhTaG0IhGFESS4c9d2A/OcKrVlCELwpZVEoqJasWvWniQ42hh4Y1rbq
oxvUyLn7Sdl1uPpRyJpMJgV4sfvAbu2jM9wBqkq2SRT164J3ybZoEAS4NODfe0ztN4SNenKFo7Ua
1GBD8sM9qEELDkF8twiXurU6jWgL2+KlK4ohLygIsmwyUFL4Lj6Xc/MUKh1mhjEohcXRuD12+tRF
NoyBNMAD14nnm6Qr3A16lyS2GB3k3cln8d4lOQF6h3zuOh81IE0xL1JZc118VhmT/9rpiSNKO59y
RY32cr8u3rKydi1kM/t6rtyWvaZxEe0rjR9Q9PmhnayqqGMADbH/vJwr9+XJeIwLFSEV6z1V8x7w
ZVZDFMamAsi2soHS+1jk6QLHXksfZuhTwD8eEHhQtoZeYPTsiBCaAv0sMFoS26jizt6PcMyflgoA
ADo37qafsKGv4HvwyCGiP9nVM+p6+9zVtoQszG0TwVlohLF8bQzBJmym04hZ4nswgTsbK++1xI0Y
U1NiSsFQO2uzRdWbQGqzVdR08sdhUR4WPXrX0N6E/vLaGi4eWOEY3DlR2EAyUDSwA/H8hnLoGaid
/U0n9kUSqu53iBIPr6lyksdHIxu3tjZm6Is1wWOt9d/sacHWPWoj7NoCR6gkYDSPrq0MubxFevlQ
IEB7DrMyXFVtbB27ZcSlhHjMW6uuoNSlb62XZrt+gRychIAPgbLeyl65azzqsWXeeHGJQ4SQJJYH
Old5iRKMi8eq0X08tNJtPlf9SgV8fV/Cho4nb3mptcnZFegbHerWW57GCuiO+JJzN+LO1cbGuWpr
7Z7Vj3CCEm8aG5AddjFYL6hN8AVHcu3UT0D85dWC4EVCy06/5wo2N87UaaDg++i7hcWLvKp+jiAa
JrZ+Qg/fhU/sYkgg7w7qBivYvMb9EM4aQIU5vHQ5OyaGEJb+NBdJR8YD1fq07caXPKouZ0bkj0Fy
G4bfWk76CNDzVfaoZjHqzGGAnsucGzeL3Y1rU3yUFpW3bqbW34gMlsd2arD2UezwzRovPzDZN3Mb
N619HEa1/4pP5oPscKxQcRgst7uNBFsYB24YJ+I3stzim65GQESmNNsCEU59tOynyw+oticv0sfX
xXY7zN8gCoHPs74tYDxlr0vk4L0kHjEInMGdfOxkr2atvhON1h9MdY5PZHnIfYvLLzSml7pTPsWl
vdagNezmujKPkYNKOTSSHtSlUbwXvenj86U/T5DQkexBjTxMmulLiITKpUUfFkfLVpLvSmwmJOga
gFK8kL60QKT5D+blezyZe2yK5u99XHhQY+uF+RvRUa20D57BgyY/KZ/73WRm0QuzLZjoIRATzQva
+7lzCW2KfizAycmoDC+ZRSQMgkPO/KGI7psmjNeyRQjcBvpu8NJ6TrVNq3w8sTDQ7ggTg3EX36cB
yd0iNf8azjo/d6Az0KO1c6di+HXpw3bQK+8s93WpHW8zVRruACVx6AxbjUuLHkuFYVnaN7e1sNPO
zA477Vi9tQIYRfJTJt4B5HLfstKdNsWkGGc0N6tbp0X3XV6oJ4yGjOwsG6gVXHwHgYqbDn+3G4aI
4NLKgfWSzM4PMnU5Y7rT3qSAZngEEfkY4f+8Z78uqNRwYjNH48Ywx/Im47M2aTNqP4hrXq6nhtqO
oHl0GyhNcI7jrt/gA5n9yJWTvB5tgeaC9VV3Ww2NihtSBPlzyfS3AWKGuPd4lUA5UGvzttPm6my2
+BF3Yadi28TPMwyEqZWq+YMpOaHIsVMfnDBCLjpY2kOObvjD4ipQUHGsw7PPW2V2b77VRi4Mbemj
5vk8FVwjqelYeVK68OHSmxc9Vm5pPQVKpmzJZqUnR1PMWx4mj2fdDd5cfizZNDWAted9XD9gfTEc
yjSAC1+W1kNpk9CQTXCIWBcEZ99MZ8TOIa2bW10zx1NqtST8h6p+VrP6Xjbl3/O1By72RGgl3XX8
JTAsdyNMFDyTmU/R/jDgP5jiGxssatFGsJUvABf1A5MnZb/YRvLohISkC2b5f+Q8lao3KEgpmsUG
z02lDW8jZzJPXYjZUIzb0rO5YLcpbg9OH08g1eIns0UrYgonzddBe91NraKuIdWJmdGzbLn0ARnn
QdO+4OboHdAfhoM9NKepr/tHENhApEWHc5htS9ObX5UEbY2h7xDbU8PoPPVQHPrAib4vfXojv4tX
ed/VoTe+ORGyiguSQH6qYpajOQoKcYRt3rXhRt6gmpUc1rFL82Vox/QYR8O879LQeowHLDNlk8CG
50C66jVQeVe7IGlvHF0pz5joFaSW2+67lmsn2ZRI3VscFYyTOQAD4LGQnpSpJE3tuV/sJZ9XUWWY
7z0YZex4lZe0Bz42djidFpYW3VpJGm+YRHY/cvcL9BXrfVIyBkXPwXcsV3W/qvFFDIDYPjc4kci+
ok79U0nC5Cv5BWffTv106BeGbicEscNVW+9DjITTHGjfPaj728WOplOCwh/uUaVKFJHrkYXc7ENP
ucVnfDxp4tUkTxPnyxZG6MuE7/8Rov9/hGj89f5davz/NfFSFn/LjWvylL9S46qHIg88VgsPVkjH
QuTqFyFaZM1djXS5BR9ZiOEgu/MXIdoRmXKVfLgLWfnvhGjtvwzddVXPMVzN8jT3P0qU2yLR/5Fq
q3qAog0NLzNd5YJQPvs71RZFHQxdUns8u0bWI7/YLax3KKYpXXwt1hdfZ8a4RuqNhJxE0SJa7iOH
TSFrooiX7Lno+PONHSh3rJ0j0pEewE5Zs6IVmHJMJ+UKW4RfrjS3UWwyrSv8CzdNHlHqtN97enRU
pwTMeTl/jUrs50mcsxZQmUQ031V9OetRx9pNLLKvBfY0LB7lNhokVAczf5aUPsmFk9S3COYMrN0L
T64GnBlCeiatSyRGFnrdTVjRE9Xxyfr+VcXU+T1OdeSJ2oKVsjw8DGCeLi2TnKAzukLJvEkGeAS2
xB3LO+bOWX3AFXibSKyw3Hc5PCL60BIAVXejWHPJoHonlmDXzSyLsFIslCjxQRykYiFYLKmFToSo
YqsEUVJWZaGIlaE71SaQ5wIxiaVEX465cIFv3V8FwBm+fkjAkkWauPPWQiQe6ruzkYkEmU9xhqRS
t5c0khXaiFDI3bLBtdXY6E/WaCjbBfotc7n6QYbQZUrtGkyXtRhKlbr+dBj1xUDbGkT+dsqkfZWJ
sbSryMLJhnJbHySAW4QTLoeuvX/o85KRmzuEJLI5xyvpdyhf1i7x/OtO2ceH7q75Pdkmr/YwIAo/
VVKBEna1S00xO903rCw31rIqD8uiXrJXZBHwlhBnXIv896ZVK/OhKJNLi+v+a1urZclaYl0l0i3/
kEu5Jltk7uWSa5E7/+X2h65kNcY+eocr1tfrKbJ26edzFx9yOP+jmnh/GAycx8+f8KGnjCQzkpUY
an84+8Pxf3PxH074UL1e9IdT/+Vx2fLzpX1uGdtJuTIzg2h2irvw71zp9Rn/x32f06uXU+LMKA6f
zrkmDD+kBq+fULVlQ9ZPJlXNZgIdzivtes614adu5QF7+RLFlXWUaQAZBJc1reBVct38tK/EoeNX
BP1/VGVTGVyXNVnIjmSX103mG7wB5XYuu5NVa+zo+d9/umwoC/kxlhl9Vfox28ldekoM6rusDkk0
kChsSTGpo7M3oNL4tgh/z4tH5A6Rt9qXO2XhZjr0y8sh2UruvUTK8f4BkV4n48bslGQ4yUOLmtjL
o6yqYPfLuw/d6HaoEoTW0g2e6TBqLn0pBpbvpwbjv12KJOJmBpLhKU28quzpR9yYL8FSQT8km1RE
mOJNTf8jzUwEl7uJxXT2x4zyM5pX0TZXWvQUq0Jfj258gghdITpFSAI6bJ/7hhO+G8sw7ArGHWQs
NZTzG1hrH67y8jVmE2LmHKMJKRM5Mo8mI+1y8x/3XYLcchwWhTxDnns5Q4wRnzY9OBeMouLItev/
RTessfs9AvCXRJMnB1vZ9aUq+5LduJKT/u+vBNNXlu9zuf94NXhe7ip9fqjkSHYN1cvaNacjw/ef
21wPX8+77sPHArLFdVt28albfWgYP+XOaxf/2cfIbq+fcu1G7vOS9AVnOTLIntpcguj673C63Cc3
GcHvMauadzLMLvcPEtzyoSoPJXJcled86lFu5jLjLQ9fWsqTFjGMytrl+HX70mdEhHRWLAT4NHyx
nFK5tYDqnjT1NZoUBK0WNOxI1zC7wIpz6scJINlorBCwJBRGKqd0UxULVQMJfxMJvSSqfqSDvWxc
lLTWjM/oAbJoJRGUent07M+t55WHgdCcV5FoSFP31TBD1FpiP21fbcU9agRgsASrQYkHerQ2nYeZ
eByxHAUjk7Z+Txb8AwdmGNsYwJUdgsevg31bTa6fNpgAZXH9VXUUDJ3L9nsWY1KcAwqftd7blot1
G2JFgEzKskZ+vPWELUIMVt8a0TBLI2D38O0zlaBDhpCf3c3bto7e06AEYDnaB6NVENgPxm1kpru8
mtrtMGXjriBKSGTgHqX/P1Pck1esONCVs+0zSwQiviOguzZN3+bMBUUIG/oUMyPfuLbjw9d8zo10
us3j6qzOLfovQlbSdh4HBKyPVr3zcAxc12XtIaeiTFuzm8k+jvEDGFZlY4dZunobihKyZ19G/JIq
cHfAcThkL/Ad4jcIWsZWG1/U9rEPq/vaJJZUH8pczbeVI95zVrRfGgNuwjwwm4yR9rPcAPW6ILFW
zjKtnS9wVKTQtK/rjb42OkB3vVu+liMSEy5OpLwWA2M1RwaacX9gXWH4eRAN3zIHEF0azQ95Z5+L
uH6xrGDa9PAh+vlLmId+olenpJr+RJSQjGzdBCsLC3N+iwp0bNciaRLNywrlxvjYEbZnqtvcAGMn
ec5LtVaNAlHMdp33IPZc5H3R8PPeExSGVnqru+fZENGvOtygchYToMQ4IoLp3eQwvMGq1yY6nlXV
7TVEMMzQcrbGGi4Oc38LLcweYUs4xOORvMpLAdz1buir5Uv/3X1Up37YkywZIa4qPxW0PGps0rJI
fSo97FzwHVtlYQQucTHujQyVlmIXWpVDxqjy1p01mWtt6NdDFeH+KACl0FQROYScEAmwaS1hpwKA
WruNsyH7tFFiwKkBKNVRwFUNr3sJU1K2AsiKll6/ytO7QQXiOguwq6WdIlx4BQS2Mjr75IZAwrws
BnHxB2HmYDd6GVaNmBfVAkrbgan1wNYWYGzR8NN2iDDsFxTnwPaaAozrpfe1AOdaQInWtgClgkbI
wRFU3iYP4ngD4mHhxrGyMW3kHVwB+0Xs4aESQGAUielHgIOT8aVbpi+EvJptGy8MlTpyM+KMWUCL
IzDGBVjjQoCOXdDHMSjkDjRyzv+jFfBkNJNXbZJ86Zn4k6bI3BMOu+MG4MMqFfBmD5xzXc7aSU9w
h+D7hFsTNPQkYNHBaGZrK5yr+6mwUYj25kOTeeqmco31NGX9l4p/1bqP84HRHllLS4vze+RtohW6
ZuY6n91viwBqqwKyjWFyt3MkjBs8ty6A3TUI70ZAvZcFNVaB/Z4FDBx1URZkTKFrARFXXR+rWms/
Gdn9BLyVH8mctwQbv0G9KXbNMh+GMS2PE9jzQYDQwYC324q4/ZIMbyYyyhjeFOEKfYNlXQoYO2j4
vCOFZIFv7wXQXU/xFeRB/ab0LR7SnWGeg3rAZHB+NZiM2Ghu8z6tRKYYEL3d0EEskKohCPvWrHea
e0p5Go9WgyM63pGzxSvBagBXg7d/LlXwIyOBLhyFgaCb7U09eibYG3Q+1Yj07SLUIpFf/N51RHat
ZDxU/LgrUDM/kWD7WZTRDYG+g51Mj0GBUENQWXsSjadMqZ1dpcHk63BSWU1l97XEgwpJyLJZqUoW
7TvDeBwMjfRO7B0BIsECVKb5fkyQjzBiZT+gbLSKooyoa458ZFWa0dp2qh2R+n4ndH1DyLZ1Pd0G
hv0dBRdtTRIcUpSXr8pyednMhf5QO9UT/74ExhccztFTi03GVoendzmarEfJTK5DBGoTvUaNiWSy
OhfDGgjAt5i/6b433rQSCYKxA9+k1RDbCTw9TqBzN84QgTjukPJIQIqT7jmnofYVIx+mKN5wVq1X
LwuKfaVHB68zhRAUcVKtyR+NABtU+E7hWinSGn4NcD6vsx4BEgyDq59QkamRpARFjfJTC3k2ieeV
6zlrnBL6VZt7J1A9OjJgrrsN7S/DgqZXXPGfHANIxEWt6MfJukeG/pbkEUgrh2dvTHuCtG16TLtn
VDWx3yW9HPC6I1X/ygIB4QDAG17nebsyIOtp2ZgPmSlyKx2GnqSuzGOjJpten9t7Emxb5J2TLwR5
N7ztkCGeZ/MUlxH4ninb9KGjrrGcITcWJzfGssenx8NtqZ/WvWPu5yF4Wuy5JHPmPc26usBlxtwu
g/zRzcFb01unQS+KzZgCVy5S+2feYOjtTHO85p8CN4uVwCqsdBAbwswmiFGDdU66HanoLiGa2k2e
tkMmFTVeLcYxwdZfahdBG6/Jw5XjsqupVPcwO0oFHPK/2TuPJMeVbctOpSaAa1AO0aXWZMgUHVik
gtZwwIHR1wLy1s33ntW3qt//HRjBYEYGSYjj5+y9dvmFjlp+nHoqIunEO004b6ofd46Rv4FUAQ7m
FQeoWy62PMiZkT9dag8lCJOCVwZizUpayN/IZLilXjngzRIkERpxgHOBXKppCLdWkdybZ70z1Q0X
5s5NYGOVnBtuGgyYULFLdf1HL9G8BMDzYsB+lksSNAs8wQGto47sCqxp5gl6/og5dlb9J/F7kCfZ
CSvBzZX2N7tXu8iYwpOOi4Mjw1/Zpt6QUc1MsdGyvR2j53bGSzB/0pXR38rCZbFUceUbOrxp3bAt
vMYDLx3/qIw4WcNcFqsW8A5Ge+QoTVk1K8gp2prhyF4mxatHg0hyPT45ob+LWmO4FlBkV4Ew5daG
LiEj3YHEWyEN1MuXlsqhrp1m03Xdw7fqZhX21jrrzOouHPMdIsSZrFblSJPrWUrFOs8nSGckUhhU
snHhRXxt1pMSxKROeXiJzf5bhQPO1rFJIhMY13AsEfUE9cUwo2dbZT3HaLcbkuhHqt4dgBajqX5l
gzaua1czV0VoHNuZC2XZqbtiqC23OUrNtfpljVxA9BotsOnab54fkeatMy3rPXCwnmasarcfEZYm
PvobAtvjtAiONSW03pSXqpoI09Tt9oCZJHO9cuVq1lFCkF1J8BP8j+tJNmQLAxjc2DWZDrWrdhMR
7QeucducMefVKRLQP/13CeXSTg3G6h4fXEQUUQK6jMpHnuvIcejzOmewskU2xkff0jczoFoMxrnz
p4J6fo4KVihPU23tA4vZs3xgaPR1gH59b4350pkVKTJO8O2y/17ouLadaM0nDoEj9F7RGVYs6/Zl
W+1HHOUrPpZnZSMl0YrqGlr6szmQj2HpxYuQ8kfYEnqjV/i2mCJlCYgAT0XmRbPrrR6b8kBe73aq
FZfmKInOjKtvKW1ocncQTBifmzjyV1wMHbDj1YX7IOUWDPbIIxtJlr5PnBbHrQ11HVSjvQfrvDYE
TpO2HuYp79e+Y6Yl+l1oES1hWOVz7nvxPuvgGxNAeZDZNG4Y9wF9CiZ3BT982uq9eU+c5oEHnbBx
IlVl6ibXKulvIv7RePDHB9P5ZBUuc8lThRhuq1J63VPyc5ywMDBdozjyRbT1xMQxigtcI/J15yHZ
p0TTVoMXROsIAv6mHgxOPpjKWpxSmTwZ5oAFIjBvzAwxq3UwtsOAZIhEc6wVBLdtZ2R0GoZkRnmn
Zwa04Z6kse0QjlfI8/quCLNPkZzAyzdTupKsf8AhVG8dXC+T0HROL6oD0jM32UC7Q3UT2CXcdGP8
qofg/Ytg+GWiwnJ9oM7G2P9ywjfa8Zil2/HXkCvrXUS1hEJUzYWlsraDwWg1KVt5dTaJYfqHkFxK
BpeXqiPMxIc3vve0a+4P3/yxTa90jnaxsIDGqPYK8KleE5N2DOkKY2IqPpDPwafopln3dHSiAFGH
L39WXjVidt2ib/vem2mzqm1CK5FOgXzCpRpl3Q+cej56CHX2yHCPsfVuDIebQuX63x2y3nCwA8ny
r8Jt93bjcMdEcdUG4ZPXpO+lGRwGw3uz254RNYvkleWOr01Q863KNyNU/LIAGaGrp7deby9cpeN1
jTrXw9eVmeV7aZsfUTlcYMOsEJBn65HM0iqNp1upZe0qBaxx6E3b3Ddkb8ea8dTMUDA9gTVeAdV8
1MHZ1phCYs/jqUH1x0Zl86x1fs5wQ5Aa5ZAf//yr0Awi7O7ESFbzb1p+0E/WRze5alN3/caKppe2
fmkze3gMxrDv3MZcsVAF6zOl/WpwkoQ/JHzTqj7UVgFVbFJLd9v3nVqp+IxUeBXTImDUrMKnbt6M
WfBEwIxX5ExewwHU3LyhHTmtk3GiEi3dv58DBV5jyY445f95Tk5eApMwNve1B0bdE8E9nzeSg7EC
4cVJYXLJJxlb5QR1TvOG1mx18EaAJcsudHPrkTRufB9wMi9P/Xm+dexPMeXvaXnK02rzkVVq2uRD
W27/vNYyA5O0ShFyv+Il//IDa+VZlC9/ngF5AVxuLIvj8h8vPwiiYUU1Zm1YnFab5anlhzExoGeM
Qy/LUyKv4psLF34Io+SJXmEJcOjRGUb8NNTql4rr4DgY1lUfk+yilLAfywbdjFyXnSN2f57Lxr7Y
BwhA1ineTw09WkCODgnaqUjFI543y4slUc1TieRqxCm5LgoPaGqQhQ7kgcoDcDLvN+UszAGIsK6W
/agSJpWReiStd59Qkm8R4A+cO9J+ELmg3UWMDY0di+XN7w1Lqy8yiabTiP5GowqZWoCxFjeHf16n
SNE4wMipf/8iF2jVGcjUI69yeatKdFvLEQXxFVoIEiw/y9s7cYfhE/GA4ZMJzYxYIHVeXrZsnLo0
0YIV1WHZXV5reBCXRY0vZflXy3PmiKxYK9MrAkhievTQh/1i+Q+YStPJsuRXMqn9x/I8br7+7iA7
DxJP533MLwvkeKxck4je+V+yCiQ23rBo23D8laRcHLTQdx6wn91HVUT11og88j7V5D6WHxhd0h71
amapzq9bfhCmun2DeLa2krTTKPyjbtfmUHF7wMQAFcXlz2ujuobumLbuPjNrCL8jwN1JC6I5DNBD
szOmW8sNCgx7XR3sLJ/uG3ru+EnOG7trO1K/Ye5FSun/g1X//3PY28LB7P5fO+zvRCeWxb9i1YFq
zv/k/8gIDOevmZSpW45HEs+/yQhM+y/hCOEAS3QcLJdM8P+WEdjOX6bDzzDBm3jgLf+P4d42/vJ9
n4Aey3N+e/b/WzoC30HH8G86AmFb/AnCBMBh4e6fbf//iuxOWzmlA3m7NGG+ephQTkU9tScnowfY
DuNhzELUMPIdJV5wmnwPS1KTvnkq/kE0c7v2YoCay3j/z4YuQ3EKEuuiHGFsMmXNF6nytGwaKz13
dZntk8XfImZDiOoqd2co7ZrN1pplU87Z3VOemJuubLZ+39RHxzCICI5A6yYZvGd0jB5Ky8jdtWmP
76jN04O0+nOA1ibJtOAxk7Z2neW/I/Rm6i/WtQP22YE4TeLgYzllUi+H4GrfDOV5F7PNr0KSsln0
1rfYiX7HK4T2QCMH5MCuXqYV0+w7WcQIy6NFm+CY6r0aepT8pXO3+gJIWjZXr5RmTP/RFrXtj0AF
3/XZw6Uy+OSYpCjac2c42Z4y8MvHDs4CuSuMQZyxIYuz3yuLQdnHYsOuZ9MBVgcaEbwbLTnRq8R5
Om/a2fW07C6PGOK9qrRLZwFTAfnJAZhPG76fbQ8o37vNJMdqBQxmU8w66+U9+I7jHACjrrrFQ7G8
OX02VmgNFot+MVuU2euA+yKZbRgo1+RmLD1zBfjGPXlgX1iJmfcY/waCO8YDGDqM2dqhzyYP8tbw
e/Sz9cPoHUwgLJBw1aE96ZxjiL53X+CwZ/7YkZMipIORZHCbczCbS9yU1WgOttjMQ3ePYco4Wj4m
vflL+CML+bO7PFreAOhze6s18peF10WvxmD2SUF28WAMNl0hT8sGGn2zRTP4U3cRaa/k0JKLkTR7
OfttnPlkWB792ajZdEMtHeztUcCewXSzbJY39B+78ezoacAIEIhh+KsIxPq0BqxTn34/nJT5GKC7
s9Qzvyz6ld/KlX/kLMuuoVCzTG5jH7ycbub8nZezV3B59GezHAzL7jTC1mHt06+WM3I5GV1QnLio
ZsXN8uRydAyJ+GzlsbUlRvbvz3T5/JbNn+es2W6VJqdF8MM8B9vW4smyZneHsVg8Zi1KNpu3vNnG
Fc+uLvhpf2/UbGFbzvN88YCx0gBeNBvDzNkyRjeSubDhop35l31aes7YPdHoB+vlzeYCSMwKHnL2
wQ1VYtMpbSjK5A3lKZonFFfTScybZXfZmH5CJzqstFUuviQGRjk49RUJXQQ/U715avYpmh4KRDVz
vtBi8hBORLEvVHduhuAT+MetLE1948ZSO3mW9Tp6c5rNbxPZ/EfZ2w5HzkmfT7blrzRmodOysf55
tOz6bcnsq9H3i12U9QEevqA193kSX7lBbLK6gKg721lojrNS1LVwq1nktETAiU+6hr/Fr4d4N9nq
c5w3PpkGUXSypzc+2ZTgbxt3YWCx6SNfnkiT4aodic9VS5Ra49qvXmLlQAz4m+v5246QcK8UoY0b
NZ9Lyw/6OMnrz67u18dxqB0SjofkdQR2xRmtt5D/n1ofeghd0ZmB1N6SSX3rGkhQ1kzM0/tLHLIq
n+90a9MMfsS+kR2nujJ2dd5tzKB5gXMXHxhivOt2ffAxq63Nwv/I8Y1upiF/gjPmN9kpzvXLkMfZ
rqh5RU3RFU7ltJED7ZR2zK6V5xZ7T6kvaoA7odIvIRyio6USa9PmgPdVBT4f7P8pV+puEeq9NqRO
qCpcqpIIjDWm2VtsloTXJF56Mgvp0A2PWwxxeHu6sMLVAdZ2tjrd04hUhWrKuUT08cVmAkFvIEd3
cJXkS+hmNZ1joW1UasfHsTOvRq1ePFpd60EEoHdzumxDIk3SGbm/CU8dajGcp5mwj1CZQAEVodNP
x3doVgVsf1o3XkTKumVbK+XJ75oe2qepMphReXSGcRRP67p/CjwtQtrak9pbp3s033cNetsxHId+
F6vCWFXZOKCwju7os6yz24ocf4XXwSpehdkUrYs8d7YioEsoyC4jfKPDGFyeWRqTCV7UTH1UW+9b
EshIrQg69LfS3ITDvQwTYO4o6+aWGEoJepieAsDTC0ITpSURaCeewTUcx1djW9aOgttaA7n9ORqT
vg99wuqy8Z7B6nvNbAuPjaXtutKC+ld21k5n6jc6ZET7Bu0gMwmqHShaDahe9qAZUKz44tXZLFLt
pgiMnixS38fMwVahZZs6qGBFB/mbqjq1pVFj7IzS/lomhMMME1HWFi7wyOnCx5hVZ6vz9N3U0F/X
Gu0GOIzcmMFr1zLvaTqIVL0MSdPuhC1HEs+Qj9MevnoVPM0cUxh3Eb3+ljkVsw+Dvyu2ZLYzAcOs
YWx+GuhKyXPp6yzYSXwto36j6/GPFHjRasiDaYXp6Cp7c22M9bjuuZ8fIOszPSuiL23eVxt9Glwm
3bVx1Ap4hhbUSjN1NBLTxx+uPYLSNw3CqK11a08/jMJ6uHnwVFTuNc34TB29/Nr57RePZVyg/OtQ
cplyOW/Jrm/QYoS3YR5ZmZl7QOFqrKOUszOKIgZHgby0uYFNxA203cjs25xJYU5RvaVjcpRCO0mc
1jvH1iTAlASqTILhKhrWpbSj99Lxv2dmwu1ED42NpwvtNnVbiCLJ3h1RBmRGDlBh0MEV4eXDESSJ
SzW1bU/0D5XB8J20KBSRWZAcpgx+fHeMHOPTACFlU2n2F+XgJXR92r/qrSOCYqM0+1fauOKpaF6b
MbqQHa7A93fpsUmdcUNdap4KYCuOnQQHnDqYhwSZehVkJs1UD6jOL/yhj5g0s3WrDfU1IcwlHsMj
boWfyWh9nqoQoDTWRUsPPPrIPZ4Pq9rACb9JuqM7Mp2ZJeSQyJtcp7sFRmrlZfFZt+pfFfqIVdPj
9SwzWn2JAVOeQLW5Y1Fvm8b9puh7JJqPaF+vr3EwJVsEnzjMaGV3Ut1oQ8RrWaRPpps+N3qWrtu+
e7XpprbRPevihrzEHAtb7iKxKNVxSHsmHUYLAzONxbrxBgF0PgxZM9d41Sq8pb1qPw3pJDfVHbzq
uHYcshFHezQwl2SElEjt6gnrQ4iv1hgHZzpfcODpdWg6Zz0RAMzN0vQBW8pf6TbJMQaVN96GXuIR
cyftYyraXSSLz1EYU4lPdrwBy8Sr/E+Rh71Axi3rBxuqUTRIQgX1s6ZS6Ev4/1FW1j+Kye+OfBBM
KZN7JWgKwOx6TMx5M7rqoHZwqsTM5ituR1rsrrS0VquhVOPGgqN06udEPavyViZ37DOYny2XJ3nj
XjqPbh+NR1/FCGJy+hBwyVnxOzhovtAnlQc3Tljm6P02RZgUALs+RQPphisx1yfL/vJo4TIvu0Ob
rNtRoySbly/LZjHz/9nllljQLS3elV1RfudFsmUDZnxICqQGFFHLZrH3/8duKZU4hupUmNR7FneT
TT2NLxYiXFq/8CQWpIIrXWQM9Ty9mksJGngZqyTW/q0jm31kh2+qyN4sZrc7zW/HbZ3ivq+NqtnJ
LPoeGkA9aGy0p4mR8e9NohQVsEcZdCj4lvKZfOzaAs5GG5srXCd/W8kxK3c4zfp0H0fxZaFWF2P/
kYZErFsmSatD3++XpxsDo5Vr9gfyHVcWHHcmQdN4wqdNIpMu6N0gROXwQqiEyP3HiEF7+xvtbMzi
yF7/T8f74oI3w9ydl3XXhVCwbBZYBgFgRLI6vliFsyl/8eN3thh1+lLsM2kdd2nu3hcv/m+B4PJw
UQkussRl15hZAcHOniv7Ie1IX1ws7Fy7IoIYKQwBQhFsON3GFvpWbBsvwirfA9hdB+4iBmeZHl7D
vr5OZK+82sgwEst7aHnJwV0aGkDl+AfM0HTPXMI9j60sd16lFwRtJPP0j00QdT+nzEGuIdzxpA25
js2d9dEUSR9QFXwOCFH615h8SdNwvhNmUJF60xM7FbuC8TuHSBSX9X4ccucOcv0QoEHfFpHzIUtb
XAC/n7IoDm+FX7E0zS1awhhgqNuGdtcSIQHsZeXSMX2+cGuoXrS6XGOs/ERvK3x1PA3efRWLDatx
bQWMXbz1gZOeHDNeGXb/iwZxee2Mzly1GfDQxbZPyKC9tQXh3b5rNPdIhs0dwgb1p17KfZOIM0ee
x3V11vbHRsFZWU4kHzoCJ69GEpXpj08qa69giG58Ef6hzETyIKnWapv0ZtfHpABLMqBz3zBKbVYD
t/hVPTn5Lm/dctf6I9EjZKbcE2z1O8MJ0GAwdWlLRi25BM1qqvraDznrfw6YlRhQe1W1WTOMVltd
n/IzQe/NUc0JwAWJC/4YtzdZqnZXIWyg3cYQG8uet9OH5qcYccn5MBvcdVdP3RWT6IQ1yAb/75G5
kQ05YxxWMrBIb7aA2oHbyjiANzw51PfrqtWnMyumI5Hk+uvoIpkRAGiPTtn+IAAA7rSZkrgxIDbu
IxsqeRRvxrjnLDcQRvjuZ9ezH5FUxpF+/EobhHhKVBTtPCyjZNt/1YrRenRj3d8KGyyBW2hXoVvB
3pf2j7ibsn1pk448ssZ6snSSdEbB9I+qZU/5wCCAGPpC9NRzHu64rtyOLi6MwUIZaKRcqRKUvmtp
GfU9X4ewye5d3F3EKO1bYmpnXabjwVb5d3QdRJb7yCwiL0luRKeG6wLswVNaM77vuUkPbFg1jxdX
mSedioJQZpraU2MYxyb7PHoJyxPSJ0GdKyL2pE12xhAAO2uTORKaWEnc/S4HV9XvowjTIXaZ+B5T
wRdcZvYt2Q3EqmKJI9i93ELVPpk0HQ6yTj6VDgvZKe0uOL+1NHiyQ/25pktz4NcW2xqsC3f5giOz
gRpeEtrB97Y1UpXezbglpSIILl7ATAxy8sk12qcUk/4F8hpk8fkRSxSTyRkwG8dpin3GinqFu2CO
mg7X2QBbnVXfVYvIRh6z5z6hBYxULTn3Pj0grUyAwfU2VOKxnwV/8kqeMZlLjjvsgOsGydBv9Zpg
WdPxT3ZeOy9pKqNnxlerT3Uq9n5Xfs/wIe/TeY2jhcld+ndIsfpVN/q3SAX6s158wfaXPMoy2tU9
/D4i+YItV1ec9s03Q5/gLzkN2ENfd6O1mU/HAcUJch9JTTYY2b3NwvzuVVF6y9pvuAezteqs5hh1
bvhaoUDQsto71g2/IkvKH4NxyUArrMOCMTpc3n6XhU15022xT/oRpHtTd2ccMx8uNMSLL5Np7Usy
ohI8Vqs8C6otvQ55EKX2Q1buuJO2C3ancN7TpuwPwk5eZOc3NyMS5VHaWFXma2w7tc9o/0isCsVw
M5Kc5f2Y7pUbTKeOYDq9zMeTrWccCDKaNlB7HnY8hFcJ6t0qW+j9wAHpEQFENgCse+rJ9XzjGpcc
geRBrmSFdUpgUNwik2ip01KNsEhV7VzXf+NCkzFVNY8sgTFbN9l1DH216Rzm/EHWufvj5JPNmLjA
ksrBPJleJHeZxzA71z2XbxZRS0HAo81it+m7a9yaxj1OfWOfpETm0DV2ViUeip3mpGghI8ChlYkn
dBrk89xNVaBNE/d75zARbBkZNQZEdQdqy1DG8zFc7sPimz3oOqdDfwhLYEnK+EaJMRzSYiT1iLiU
PImKI+5ykCCyrXezSklpsdoXdXnwM/dnQtn+ZlPdy5pVZKRpztUQMCtQMo7F+JG4mYAVPkdU98TZ
2CQDcFsxg7eUITEs/9hh6piW4onyul8PTZps4wGME5z4co079Fc7JcQGOORvN7DR1q4j3HWowVoI
SgpsyK2vNWTwcRo12GkDRBZleojEHHur4hhTt0kBi/GWfITZm1APjbXDEnVbSjGwntOqEOQeyBIk
a+Y5m6gpEUwK641grpNNqB15MBJtZxUOq1qiY+ZWdunDOLyIgfzdGAMdWfFoWehbiwBjtTOJK+nr
2HMDbcNMGHy5zL6rZkROOfbPbme+E+nXnS3NJlxFdifwVaBSJqj4blYdPZEEeIwlGIPhwx6m6DyQ
3IN21+i5jMX5vZ+qjRH6ABnwv0LN8ag5o2ajG3gBSRcu9LK5khVT9aVL4Rv0O+H140toEavZItij
FWWvTN/tt2UbIPtDA3nLBLU3yrB057N8rWPC341IW8sq/4XQi+gjzx8+UAk+xyi3t4JRFjEeQYeq
I3idxtSirakRdQ4P4OpD/N0KH6t4PAVbVNrRcaL8gWbjs2o1X1hJ/eonXSF/ATbOirFdl6X5y+9M
2iamdRyQzOijFm/CNLe5ZwCKszoaHdIU1rayY3WWUtv5WPtXFlPBN7A46o7t9+7YH12SyE+2TLiz
TaRfdF77HV5OhEjH724aKrCDvwQ6t4BAdLt/qhv0jppAxZIYdrAXaaNt7Kqh/dkazwU3urDO/UvY
R5/Ip6BGrEW8GjQ2bkAMTY7uu+1tDeAV888riyPuhyort5EZoeSQmXYJBbL6xG+bQ24glTSQhBTz
AUus5Sa1FZAx0otsv9X2aVF91muvQYmPImbO7lCaOwfD5eamp23GiDX4yMOqegPltQGyx0VW+OpZ
q4f9VGnhSxIUh6EVHGMF8w8jIUwK7ny5F+jRYx9b/5AP9oYwqH6b66FYd9xotlEAUb1vbTyLQ28d
Br/oz1GTkkllDdom6CzzGs//SzvrSAla5EZaUswzOV+ledLTXRfGKwmUEfCNFq0AwxqWD0S3xQn+
epgOBf/p2utb8xDFVKhpDRkjvKmsEecmRe/d1Vl27NLsySApYucPfAGkkAgm6RpLIAlQmGlbvfZG
TR7h05DQFWUzAm4/2L526GuzPVtD0aESx47YRyphFOQax84pv5uCosjovY74PxHc5gyqdVYb4YGq
aGcNIZ/I1CJmnDxaxwjZjqL0WK+VxLjTg+w37qBZm6jQiv3yQRvIGyzDGG9aHSBLC/SzW1EHx2e3
5040FfGO8Fvv0Dn5JYjd5snQMQ9VFZdbmD6j81Wz/XpdeOWrniXE2oaWBoQO9clodtcyH7702WRw
lQ1pXSibjmIuJ3NHrUyDtE0/2zXZmEvERpDn/r4e829dniKdHX334Pd6Rj+yYHJiFZfYobgIaK9C
82iImhjgTWuVRuubieUxdSv9KHSGTmVy554cnr2OnBknt9HbpuWtI3jQ4p3tK0QwOTG5zwG9zSvZ
ilyVP8dFjAcZy8fKCax6a3udc4IOzCKt1J5FkrjnZeM1fcKvQ3ikW3Z+F1WV7uwBAacXUkIChm/2
gKvdqxkTAMPb9kAK3u3EwT4g/WMw73Vu8kVxPJxZ1Pc08LkWDJbzKXe14lZLvbwBUnuuQtWck7jr
1yNr1q2bqi1eowHYDRuFZyAr5LPfs1ItVNLca/sdeZA826KsNyweEKS5HQrCGjpWmiX1GdZMciTQ
atgUmfEwI0296FPEsT5OySZWk7U3bNIOCNP111DW3KMmE28d6/auEgws+6mJ97FH7epz7VqDAE9O
aT5BaOD8LUuFMBNalMmXeivCeq3BBrn65EitbVAk/Fb5fUAc8pRwGPrckl/6oCLVS79pYWncWPMe
J5Rylxq9rg1M4VxkR7sU7R37OZmrlUv6VSvvNAjhd4aIhLuQSAOnoGwUNG6z0ZdXpIO1ZnEzYGm6
yhD1FqlojlXORTjPtO7qK1YsdJweXsdBZBF3TJl5kU1RX11ah7EYzE1WWa+DMM9VU3t7SAnxMZzN
JPixGZ4Qdn8n6Pg+uWEPECvZt6k/oIzDnpHnCFdjxJKDjX8jwZfVGsTtMsCEXsXFE5k1I57ORGBs
lAX4RqfsuX74nNe98ytOmp/4Aeu9X3jfotE9DW2f38oOTSoScbwewWwraaZbY6Hun3xrWEc0p8Gk
ZNp+VKrb29msW2PZhI3bmhtudbWLNUIKa9cguDuU77loLvBJraPlMm+eRhetY07SoJ4RzSyy7ln3
JKrsEuobqovkXHnytQp870ID9zU0uJcg8WbWGxv+1pHuES1X2dbV0RmFdWTNzcEhWb2NeO5yQW/X
mJC+ShPYSVd7T52iPTXgUFppmmZvcHpQ9Ug6SrXR/rRCNYNQXLJ0RHmIk2KLChWjgGw/FU75RR/L
bo2A+0NKKtuZNba8D+nVYm9N7qchInKU7md2GKBFRV5PWgTBOIzd7lPw7ig73PVaPXEJRIAc+Uxu
yTNtTmVnv1bp2bB19dkW3HeGhtBHTcjfM75l2rcM//7M/f48FwbyNaqLYkc3l2ZvPveSqnkaK1Fo
SbTHp5IURsJJQMTNnTLNlxlXgpmeMhtXjULPZ80sGoRlP8EHxNAqPNI81LHbDTRZHYiqxhBRvtu2
OiWdj2HMRnfs6eFTKH1CUCJAdsvweEEWUEMNB6OJNrok/KbT84/c8oAL6drBb+4JWql9yOj4NMyd
Mj3z3RVeFRCywLZOIa67TW0FxipJuuG0bKIsuQUErew1WjWndgSWZysO7pwp1jlIG1bKwnziZCE2
0qnfxQRaTtoxYCnWMuU5ySAtMfTPgcB4tDEco6rOI2eIG6XjMbOQyIfEwGFlg7/rzlgHf+LOa07+
hBTLfzMSROsh3reVb81M7AXyEIEQZglC0sr8TpbNwjLI5ibfn+c0i/CudCzf/mMOHVhUSRDgN4Jc
TUhzvPPlUVkV6l92lx+41ZjATmWSxPKQKrgBVbc88v55tOxG8wdWmubr1NW3qMaYj6+OPJYQg98o
ouA0zBu/KFjiW5rY9HYjT8tGcPc6Tg1o2pmoOsHhwBU9P6wyJp/LZtmdTIrRhIjxlZ2rS++l47kN
J506gA9j/tuI3+To2ywyjHQRKaRcnemqMzRmWkHBS7gn6z4vwmaofzZGcAnR3DTVdDbp0i+lBmnh
64p36SfR/zXkGnuX2LUdCn/GzuB5e4Up7b2b3w5+vb83ODznnIUMde88LV+UMiHw9bwcC7pv5A9P
Tv0NbKhi0YNrJ+tGhDL/bHqrvEjTIPk2SlGNiB5X8tIRZjhoEHSZpAetd2gj0tSEr/WwvdTY/Q9m
pqA7Nf4/MDOmYfjotv5rgdg1/k439ePfJWK//9HfEjHP/IsKgd6n7bPaNHULsdffpBlf/8vWPTLs
0YmDm7Ed/49EzPuLZDfdpKVtOcTAELzyv/7OZEEiRp9bt2j1MV5xPFf8tyRi83/yrwox07MMi5mz
69iebtso2f5dIVZDb6Mmb42zFhgvLGnLazD14lRaAouU/00hUTnpsw3VzToysM14ujf1GJ0BL96W
PTDcHMuZj364sZ/yKP9ckypxXvaEwryrGRE8vCr8buf6z8Jsn0pud5eowAI7GVW2wUAR06Ej8p0o
KPI1HawneGNXGu1bIlBy42DVRf2sVP+lylLn7Do965M2vJtNYb0FJHGQb6qj3HE9dURFfeezfrSd
pp4LF0uP4wTY7HBrR6tG5sGZFtGBzMf2bpudc8Mompth+GQIiTduLEgEF20HT3aIPpyuPuSKwCML
7MFmVEbxUqcJc7XAM7cM4+1jFwWkSLuW/TRxhyFqwXn0gam95In4sMhAfVJc1WYZAX90/d0pw+HF
zW0WcEkmSWcoV2Vtjl9DXa/oe8Wz8UX0XNGcZmeb6txRkK6yjDbOSCTxC4vBQ1h7/sUDj4iPFt9S
MGfZzEuqFV1X9+aNfUdDscU5ZCTRBRfJvcIb3BTdeDTIjADRpnaVHRb0eKVLzF/rv3iTs5amWe77
HidMmyb6HbW8w52fEK64T9NtGLc9IcfOi6NHwd6082RdgZ65FyWiZTcnFKsbD4BsyMFqmWxFllhj
NPR2JS+/JUy7tbB5xOavYmLNt/YTW2xMDdA77+6os0B4wPUKzpFAqj/o9IhcGHGB7j5DrtiP9E0Y
AjD81ZAkbZaWt59BOGfZcY067WtGpb7tOr8+ByMjhqx+D3OcEAZUPqx11fNQ+8NauGVHyZl6Z6aS
Yv2/CTuzHbuNLku/SqOumwDJCDIYBdTN4ZmHnDXlDSEpJc7zzKfvj+kGypZ+yDCQkGVZyTwkI3bs
vda37EnZp8EL26NnWzuPprsvZ9N6aPU0+uOQeAcF3H4zi/veIsTwbwvEQ0kKVln8nwJzahnTtP6f
/7LEry8cPXZJG0uZnu3Q4PjlhfNayBokZzaX0VUMyLF+YLodrqKbyg1hg7fW7KOTI+LnLsKkVMTt
F2Ae7ZZEzxGwch7s/nw9tmWv3/GvCz29/c9/AfDkvbcs5n2OJLKHleCfS4CxyvCNnpOhDqPxRKZy
snecCsFHNT6hE5Enc6BD0NZt6nu9+5pbpvGIz/PSMJYm1bn5VCbwUwNm0V1GYHedcYoHSxq+jnK8
usB5c8l5V3HfNq1g0KS/V9qZabLr+TL0cOmRz0h8xSkJyokXABhxSGUbDB+kwKalVX1zMxf9pZ73
Xc//GLrVsIW5jI3MbseTqJx+IxXKw87pl3s1J7RmcnyqszrVw+Bti+reAmRwiQYR70yLE2DShNOd
pFzAjPnNGBZnawaGOiCruTVySV7CvrvOVqQg0CnP98yBWNfUEie8z7fUsMKba8Gmtasgo2UWdbe8
KZ7t2XgddTg/eQ1nmcb8mNqJvJZUEy4A7IelCRjtWRiRk9Hbaz1su6SyXwDIlaiYZDKZJyvkEFvZ
yTFCSE6dR0qfjKaTZSjCZ8afeSA63KD4VRqXlzu2Wr8W5OK0OrqbC5PXGC3+JQyTK94PvRP5lzzv
Qk7xhYPHUmM0zK2v2sMkWhaLe0j7/pNyp2YLLTA9JWO9rTh7nQwg2RtVEcYaddHWyFEdzAzJZFvQ
bUXZeWxSQeKg6netXZy4JED6M41nSrBdkrSo/zDDXacFZVSg0BVUMAiPiSJkyhrelMb7FCclB6CI
yAYrlDs7V2Q1G+pKgGV5IbL26ME+u0Spt20R65zgnhLs3TVfCC4ziZ0xM0phJMIy6vEWd4vhOwbn
96rnL8WVOm4axzguJuO8Npg/DVGM+GZO9t17366bNbGFUqOMa21M9G2yybDwA3t1iXWMpLzYy/zC
z8R5NniW7qB3CeeLW2u5d9lSeyt62brLZMwlAaFR2jOPBE7HfqJlvEcGR7yV/XGoZ9ptvB2+OQc4
PSFsMVNJfLvU3SWi9V56Ql+dQD1GbpLuk5Gwci9D7YF/1aOFGN83hOPQzfxQOzwDxFvTjxXBV4fZ
JEIrYnIrKzpYY7wmizwbvbGGZKn6JhF89blOn5zCRw1VbgtdwsKYkB0VorH8vveGw4Qlr6zalxbP
z5OnQEYb7ABBa8xMKpJdIafiZEi3p//tPIvJkvdLj5F7EadW2N/x1FT+tLY90jh4EVJ9LB3mboYo
DogF412dlEQHM5OwCG5s6+khkyiv5rS4qxJafYFt6l1QxB9tpE3+4Fa8DpGdks41I++JsLO18yA2
VVPty45DddTmuLqGuDhIm1rAY6jdeXA48yKN/JZdqp4a5xnQenOsjRa+cPZITdLuCsuUWx3XIQCF
SQNMKz+Ew/xNVn1zlCLEZKRBTNYmB/Rmfproch3gWL5qQw48a6w89dK8RqZHiyfCtuQ4zceh0B9a
ZFIbC83gYSo4sY/r51DS2TQZ+m7Tsjgm2WIfnOBF9Z8bjUnfsR4609BrGh1anj7sNhPqNBAW3S5x
7WM/mvG1jLCUrJGKh7GS36s4k3fie77YmLBgvfb1uJeO9XOMc57FNiAtKnqLW9xAen0ZiyB4iNzm
aGG/3YiBjkMfE/W8rnFVKnkZJEVGq4AuT0N3mbv4mE01cA/Lqc9ybOB9jMnRANkKJPrQmN1rldMq
azxJWG2NgzkZbKaJCR7StaXBgQsLsJwx0xL6iBwYCRJSGCd/cgLCo3oTQsEyOXfdWGD+X9/ItfES
zeCRlWrOFRzTY9MyigVse1cuZfU4NABu5dIQbV/Nm5rZ9Y6NA+tf3f0gjKu9y3tg2KoH529Xd0Fj
eX/5ezxvbnwGNHRyRxS1g+ivM1ZLrg2rG+GZbu2+MqjhHBmI9MllbC+rub1kISVsGUenTsNyUHke
If9f1XqufiGmwz0W5EGLbFHXutziu0GknhjJFt+5fQtmGBDtEuH6iowIqEJyYtxrgugenT0i0J/j
yPsXdemylV5sXoZC/HBZjY/p5NE5tYCEuDpUewed1paqBPFI4CCtDj3HF334luq0IAyA+V9Q0uAJ
ZIJ8un/EWtZdChaTuyajCRf3i7ExKvybnB5OmURO1JnOxmo7eu9hV+2NEdN3cZeaMZncaE/IqT23
mR3sRokMtKNxsnexHhh4BfbSFYzWad1h9dM3wMUUZJnbXocEmcUa41fZ90WECitqbW87mzWvSU/q
Chl9xLrkc4notrobzai+kUAu/TakIdVJG4MiL+HQdShKQzlfaJFeXda0vTcgIXf4xHxzmMc9+tN2
mzMBPSYSV1MtaKAZBi+jNGrnpBDGoBerxaYIpuFqJOOjUYJNef+3MTUYVa99a7aaYtuxxT5nsBZI
bTWPNYdkPHE0EnNm4zxj6dYcWMuZlJ+Q7AaPYes7pnkQnhd8yit0rGiq8303mfemCShoSWy9Wxyo
zYA1MPWH/SobRjy6xkYVofwwN6/0Absd6QL6EK9LbR8m1Y5BINhnXqWT1c/I75foahM5t5fopMfW
JqogaYlGqHu2+Caa/Sh66jrvR0og5CW1DeulpavUa6omjJKauqV5s5IK4amyIL9YL1xOcoSm/mMK
ze5hcJ2TSIlx6ieXkWNYf6Dt7B5iSXtcTkF3ICt3obfCbY9HO75bxukjZqBqy1Jkxlj6ckffdbVx
QmpxL0X6MzaxY0bRfDB5ViXtp0fEJXdDm7IZLNb30M0u4NVr4opIuOIl4yXccqETCX58uDNQ0AzJ
yRNbl3Rn665ozAeTZfcolxanyGQw0Y4ydXJ0/kVldUOurfu40DF8qhpM/97UI3nJe4zrkGzep1Cx
CdjTSlgsoKBqpEz4R7yw2ds6FB9aZe90Q7yjLruHfEKdPrhJvI/KugCXw5e+MN/KJOGPGxEHMEJB
LhHp6OmQX5KecMaZv8G3l+HUdzV5dO9DmIif5DjVk8P0HBAIXs3y+tcBsonV8lRk+zh2kHj07MsV
k16USIguY6rBrUniL4oTIUnezadjtAQxxFM7PA5Bhyw6KvYVcXlbVaXVxq6mBASN2x2XPPsRBK72
jWEY+aMMWt0wIp4ZxhMDHGRVcV99eX8q8zCcH4YxQmri3Ouqrh6iOsz9dnKqve1M3yJOSH7SAZGB
Xmjvme0FmObnao/99pPN6c4fCVjcUF1XeAJKC3kyI1SujMvrqnEbUtNvkUvnqzYDKX02R/tFjGe1
Lv2MVotd2FdgjeyUkcnocgytCAwaA/YtUV7o4C9bVQBfCiLsnCEzL23k30DSYibgGVV4DhrvNJtp
vRMppXk7uE/CiMnNNLJLaOjvU2+bZ9nEP2RcfuOIK4nZqtXRsjk3DMBOkgrxGhOuDDbI6MLQErBL
3gcdDrmIMPDZ5HiV+X330HQzc/mgR0whmITVjJl2oX0Sw2Bdh97+Zs1UOaHUvphtewcGyiQXdEQZ
EGtBKzyotwiwvNWpwY6LCGFb0s7flIOd7erIewykwv4/6vzQtkNwdV49Vra7sbCeBI0Ig6QVGr5F
uDdL75Q5ZfnRKeMJ9qvZbJZGiftperW7bCcecQPDImH0dygn+043lBq5QUQlBq3Zyut9jJzZZ68Q
5+/Kmsy7bGD0ymARGz+DNWH3yyk2Ka5BbH9Zx2zPaWc/d9586AmouuIaUFfBh7XjgG9v7SSEMJug
wVNhYh1aKX9yV+JzXaXWNi9FRMbFSS7WuC/7giiwlrBcJ8pxoCYfgzUbwB46x0/c9S3Q2J1IlJm3
Oq+/BWkrrk4/k+Mg1cWCtnvXHQdMybdsxB5WRpoErMZor3THbyWInAsX9jXAWvvoBHZ+6JeOQyIm
xptJzb1naEzKkHzoCC7bxC00RQdFETtZLD9S5T5nM4k4Npq9Akh9OKZXD9otf/B+tkS0jxy82CaN
HEvV2bmKaTMxDCERoag4/2c3J2+qy+iA8Mn1dHGAp90scC5/VXOkZigfHf0tC5S5x/Cd7KEydUyp
SlhtJsFnam711YSqMWKHuLx/WeJdI2V6H0SWuWvg0O36jtGnKs2jC8HmkNjjGzkNI5EgFIw2tRWA
NuNpLPryMjbtcGjXthsMHxpfCyON9+aNbpTPgQKfAGqwS1NKzw88iKjvkW7xlMRIrEl4q618GwzY
lLTsXKJLcUQhoaivVGjekfH1fRybyRP9yeLe6XNOaCwEfpiUTBX4Pbg6/VcRJOkD70r6MJnISkTP
4RFuyF6FdnVfQ2G6BvAi7A3mbGpRI8oulPrppfDY7BqUeD6yseDcZJb2R7trPUr05PviJrLaGEX+
RAPUOlpzb+3szgj9En58jcpXFsGXoO/yK3E1vFkF3k2EHN65dzhGDKpGOETGxMtILiyVbn+I05mh
Y16fSh5JP9PI1t5ln2hGyWPNELZgbs8vKb2HUEzpk1GWjOcEUhU0yHTWtXXxIju/H9emlzGJu2HS
EwgXN2RIF8Yv4VQ4Z2jZiJZJcWIKVi3XuQzfrqOM1bNZK/Uc1Q1LggVuLCKZ2W8Q9hzYxiEAgO+L
bfypJgMlaTesjQxKaOvWr+WCMSB2nIGe2VAejDi3H8DlPQ+c2PfC0cmRnFtsMFNJKm3qnd5/6ESk
+zLU2IYa+ya8xrq9PysABk6chh/RQlYPVZUtJK7QhKzIz7kstDK2MrDfApcBAXUyeL+AsWywm81i
fOD0BaQ/JTI1mZpNPHoz9bIi+0DiNyen6RbVOEOa5drQDbg1hvsUKKq0muAOWRrm3qq1vNakUvxA
ZlsCImRZgqze0dxbZ10N2cgNpdfWgWt3KZ2A3FuNqUSHtwEJLl1C6Dd2MvmplwaYtKZqC3fFpoLn
R7LiiQCRkjvVeu1LQUFxbLC5HluGuyRddH6UBeMtJ+TAl3Yd3xkI/Hwc/eNNmISSma3HcB+PmWQQ
i4p0CJ5If/CuqZTNMWNBZ7c1p0O0WD8YLlcXImYJuos5Jr3LrYNeIA3Q+SWbgPxKewaggU4PDRZf
ZGl3h2Ucnwn1VBfCW5jh5BP+pbUA8YzmvIRNvgXVbp0FdEN/QdtQYqzx28LEtuSWrBckFeaJtV2W
8Ueli6dJMa0vDOGzon4NRVtSPSCmttmh9rrzAK+Ex5amx0YOwjsZDr0fM5kUT/eA4kQ49TFI7vo2
bT/qrP7QVOaN6Dj9ochvMLAGArsxAeWFZd0cI96baIqObBn2xphZQeu09R4W8jWpd73HXumFnL8l
vRJbCcIyFpe6qe4bxJSXqW4/i8ri/SaswY1RXQZTKE+OXM6IKV4CcDHvB0nkkpwb+/xz59HQaVsO
t8jhjyCysDODYzu0a9IU2bdf43b5UUZes9ftJyTSzLxcdcK4c8P+XO9n0kwQfEJ1T2AAH5bScP2Z
nJ/jwsAM896Om2z4Am5KxYAORNDw2MGQvBEm+zkiNJ7KU3911iMevopsLaWnYkCFGOdMFJJd4wbb
gF3+TPClA7dok3BWl7VNvyngoc1D1+fISzOPUQ1D0qBFvUoGMqV0eJGxk/nKWQFxXm0j6AdHNhJC
0lMpf0iwHScW2WFuKcyX0ME11lZFS4emNMll5gOgdJu3gbFo35XVJ2Po8Dcy0IUUNCR7C3LinIiP
c04RNufoIumCXrXyON2H9nXJGC/Mcyx35MGK21x4JMmP8mDoQnKo4JDfgAlBVtFWoJaAz7NX3kfz
bkxtaPsuPRsqwemhRQuA36Y6BA3T/twF82O79Y0ge/QEHmohOp0HKDEhyMbRwVpZIPTJkyO9JOTX
Iwthgx6SksDboAxptu8CusYbSJIOaFRWsXhxGcqDo1ToqbCu+mGvaj/0iLC3owPHBISUDaoHJ02a
YzxzcQSS96Yezm1Q8CmEdDGpdOLzTlhmeEKZ9hkCLdIO6T6R8tXQzwuhEjkOt1b3G2HQ3evIAjvK
NnhLk2HLeZg9y8yb48pe8bWDfSgoaHMhHMdhlKJ+OdCy4JBBZ/inKqz6amSh8dwz3HHLWf/VTOmD
+jNjj6cKxMluGTLMLQsKkhxA6gyV65x/dCO64SGf0kY0lFbSLd9EE2OwtId9LzhdEBqnzk7d5VuL
0Bu9mJwGVGEeozBIKLGsh7nWaOdyj/I/lphNiBJTLm0bV9Lfof8Oh6yOgJ9VY7Ez3Nd0bEmhKll3
RlsVj8NY78PKOVN5yT1mOvTgQz76762ghJj23VjHwab8GnXD+Iqs7qVk5cC7ZT4mwU2Amnk0l3Db
ewKAdlprjpkWaE57lLQyCyBwDMa3wxBSTNkvXWXpUyi7mBiZtqbRs7hnntPPE+2smC7oe+de8Fwr
Wdd3ooufWpeDtl4YjXQcc3UJ6RfFvP44aO+uSRfODkHFAtqMxgXxLSat9WjaC9ZwlVBteckybuxs
bI4j868w/JTErXtUJoAHT050vLGHbUyl4+MgBfKBgcKP5Yselxs9A3SDX4cumGMMNCVX9NEz+ozS
H0c8AM4qtFDrFydWt8wMQcSuRUtkI+4uW+SlmQovNo9OZ3kLepKgy/eh1SZct1cDtI13a08AMD1R
ZCeHfzW0nV/1+qVwjY9uCReqa6LQtxBy3ZU1dueIpbrrrEcQbtG2FT89oxPHQg2vImw8uhmS01Ot
4Hp19rzJ2lBdaJM+BKMkeSKt6mtru6j9qhDKn/uKY7w+lGWV0D2Ygsd2jD+x/38r604/p6xczEtq
BY2xL4/pIgEERVP24i5ozrqENLekWNtH2j5UzE03leBCGzWIT9HSfU+hGG+oipAvJ9gGZJNPB6hY
405PxSb3AEfmndWyj7v5TjZzvU2mMn9ZTMzmNoiNzsCn1k0981/oZJu0An5KCXQcyLbcYRcLCNsz
g1vSYxG3bYjQPcbvXnvLSws1OE80YwO0yQihlPfQJflrU437CJTJSy3fWs90typU5sOS1FfiNrM9
4K98n5Yw2ORIF0ws3QfXKQDmNFjDB2sUF8suP5gej7NGCcUKh3A8nJbPaKrbnYCKUKYuW+pYMa7N
HTDKk81RnAJFDzmOfTvFkgLzmr6mgA7glh3jSKa010XLh9Dlo84yc/o01sHPIF04DtJ1u3oAGE2W
0s9FZT+F6JIYale4mEc2Fm6RcYiruH0YJCrq2Lnydlg34q16CMDQPKKCqnaJvR4Ipr1aJbynCcKQ
j8oz3C+pV+2TaZ5Ru0SfjW4GBof/f2tl2EarFlHpkKmGZhyrpAaccHBBqe6noK6+VD1AXR0siBvX
/8qeyVyUsI9EFlcXjNK2ZPjoV+QZXSTuZTS+9z0c/GvSl4fameElRcMpNCL7NkDNTdx5fOA9jA+8
6j5jMdOXntN/CKKvtTF32NUCeQLihKI/QXXICKu6YbiiT62p5fsiahFRt8knp3ybozBh1lbSBA8k
sr24ji5hH9Xs/fl0mTBRlQb6OI5vNGEZAS7N3O/cfJE3TAH7bAySedMnJFlLpD7bqcmv82yljGxm
Fq4loSCpm/YeJ4a4mtZPG0Hh+1g7TajwddrjEombZ2/8RPbPgwsheENG3ILRyvs+ZB3dbxTCOFNE
9zy5tb7QzHkw5uVt7IvuKRSI0z29xSgPPHVNeRmsBOBX626bWnwtbPPFDV29cUyd7oE6hTngRKP2
53AmY28S97KN9x1g6UOchPeJ0z+jRCaAkS136KFMY/ih32S8BWErt5EB/ZFOYrIFLbAvjfbWcbbl
s2wR+B5NE9T4hP0Tbot14XwT87EZFCJgzGG4tQc1HptgeFRpgpGiQPs0D/mbZVok3lDuMEoBOoxj
DoPL1srN1w4/lM/w3fOnZOaljwfGB0aW0xOHncuBJM6qV6OKbV4ZShcgAUmFS8cd66uZp8Etilx9
e/9VGBrXtB01aqypN7HwiuGIvuPzGHofoBg2Gwc1te/WUchony/vv3r/YiyteR5s41hMTXgXFnl0
nLrorRYCEz9Z8dFdFYynthxmBCrr7wFcie5QhnaHTrJPMG1N8D671g4HAjRKQQV29/4FPlKIFM9k
k1h/L1gIqW86JiRKTsmdGXo41eZoOYVh/pBORXL3v7///isSwnHTDCtYUO3N2KCd0lcesB63vErt
cUIr6x9s5CyxNfJwakhM7kZhEDtEjhB/PxaWoSeJjoYwPAMx0GOB7goM6tWeNW8PUnmfwN8jSY0J
5VdRbm3UojtLU/ya8bzs4DtbO9MOxueU1uR1iDGFmPrJdZfQn0Ht4vpP/aCj30cv/iHnkwUwPFI4
Z3cxhDFfBO7ryMkLknL8oTThg4/xRzHCOu/TM/3kjqEEzumwppXTzeLQiJj2eyMv1sRoJReYP8ru
rMqc8fT4VhRfXHf4SkIPvJ/GOo71AY2an2TqU2Y5jNUIr2xC96oRau8421G1YV7eREX41DJHTR3V
b0JdJ6seFF0Dpzh4Gj1q1M1s6GETOQQkpebXAlH3JnrtrW+KeREnKXkGUa92RAQytRnCfEcgwx2R
r2iqBxdBdJ8ZGzshVlMnpPFNw1HKcrqXjQUe2P2yWNl5JuURtEOOpMJTj3hxGfFWzZ2zDHuOrf0Q
bBqT3poMwCAO2jgFAbzrfu1ER07/GNASJ0k3GDiV9nfGccqm6JNwKoVuhfogoWg00P/5TpddFW6L
VcPwpfBCtvKiZdmtd2waPq1jZ+O1/J1mtp4K22NqYNAuym/Z4MDAwna8HRYIeEbg+gnURo1KUuBD
3Kj5YdJQPYHUYt5aC2nQodpywZLolLbNnqkV9XCuCODuW46+60/RiDcAPh+o8xasfM4zQMZtvMRv
0KlcqOf7vjEjHz59vJGV+r7EtdyUsIsOkTc+IRq/I+j2kdlx7dudbZKyPNV7twkutlC8BSGHM+nN
EDFRANS18+IxJtKqo8UTWaOvIueHTt/SXjE1bTFAxK2A9tFXMTYr95iHApM/oGy3Kjp/xpq8M3FI
8aefx6FufaOvob8D7ARH0HDuks+RjWXdcltzB62VFiiO1slpPtklQmgHky17xw9HmUfKduDpJtYW
qBGs8DTjoz1kae4ATPNdvtRPdkMWQ744ey9gkCQM9ajVyEQhVBX93w5KcVjtOGe+WWDO+obuowwK
bMhRtzOdDuFV/ENJ+Pht3G8ZVnp7hV+V6IJwi9kGfbZqDrZT3Lc0eIQ7uUzpc4xqqfnKUPILn2tc
3YvJ4AF3eajKzqOc7xjQ98aOqTV7TEkbpcK8lREazOLO/QmQRKClLhgNpO0p6tojZ05CFEOHIQy0
ZU4uhKoXI7t9me3HOXloV5JJmzoWrmett3TQ2HDsckw3GKyfXZuyuQU3m8huN8Qlc0PZbrEVlMAv
ESYRutyMkOE5lScb4jgmYr7ra9jE6a7GvZzaNJtIKceLukrq212MvGmX4BO2jPSRGF3pB04GNtfQ
OxUz1pl7kEIhFLUdZqGVLSfuGIdCNkAaD7MUgw2Q9m8dARixVVPak/7BQNgsfKN6mxPQM3lF035x
tQVQ/UOp7WOW00tprCbcMnB/7nHFbJp9XsrvOeJ3AiO/omz6mrKibZRDoEGEoCZrG3c/YrOvZ1o+
dDA2NdTbfsRBpV7y3oLOX+wDG6SPUu9enQA7I404Oed+YZVbZ6035ejg+ncH1NkU8aY3poehem2Q
vMDUjjw+nvZ5HmNMawVKypJoDCfmprqmi3cJEPvYfkqS9Bt5ByURGT+Lopl3Oh6jg+npl3m6oDz/
YrMSbUHPT3tvkk8m7XqQlLteepx84/QzuM9oF1b296oMP/a8dYm2nU2SThTq5fIKCf+HGuA3ozwH
X30Kq+ZL7vZQJ8XAqGG5lo2gdRrZNCMaQjzyzsEUMDxYpAJyjA/im8m9yIOkW11kiEYShMiF+4Y6
4DUsh/Hkdh7OPv0jcNhw68zAZen9fzbl9+m/wx/lf5LL/S5Og4bIP5ZWWgsSEf8pTqtLFPtJVgXn
Pk238ex9qtyq89GMZvBmQnGwRVTQliDKvOgJesumkTnhLeWgv+3Jkt7J1G0RS7rRIaQ6+rN2zlK/
KeeUchx0vS4iXyU1WZF/xyuCxo1UxCzhDGFVnJq1/eXqmCgJ3Pu06OnnZ/qmRR+vHa3MHzyIhkvs
5y6DWcOiLhuXgCNKvnJhUKLa89O/XCDq4l+kfbgvFZenURrapvmLtG+ISrdvARacJcc8PIoN1UQR
7dOFgIWaC8fVNMJqCJg4YnpB3+T6whbl3Z8v4zeNMURLZZoW99ESnpa/3ENL9q0RIj08o6ZhSLGk
fhm72zJ3XkuXojNbb2aFuyUg5f1f5I3rX/1PbSOhnB53xhMmDMcVw/n3O1SHWlWog92zWEfSOIvZ
52KPPBqND2z9iUMXPBMkCW/755/ZXu/9L9/ZAkxv8eSaLmaZX9CbFhCwsshyhxFUTBi9aZ47LJbk
WAMbCAkvGnOWrXZ6KRbvZ6kW8GDyYX6v9vIeFgWxQzmI6O2sB/pvxQQ1bOkvWdIMN8cpv+YuRTxa
h3+Tp/6aPGp7kk+KhFOFOZBH5ld56pzT8tFUxmfRN/RXjOU8rm2acgUwAC8bHoTlMylojgj05IJV
MwBccUWA26AAJTkBVWIy2uU1TJm5G/ism76dj6ndPFZdBWHFhC/XoN9TwjgwN0ZEvrzlo9cf4O4w
cGA0sSGVqr8SnIFWTkFNqtsE9URiHxhN3yi8rZc/36nfn04PGitPiamUzZDxlxtVFrI2+aTdc0/f
GMaOZkvD61gP/edWUAnGDQ1gSyWfGiAw+z9/799XN763gmbAmcSxkQT/8/HMAntE/d66Z4u8BAIn
2j0izX5XqWCr1rbpn7/b78sVsbK4A8HSas2y9ct3c7H31qgl3XNsGz9GmPFovKGy0N1PrfznVAU/
/vz97HV5+eUdcLQUJrFyPFb0BP7546V1XtP5KJ1zGgRqFxuJT0l8sFpZYJdemx3riCAuafuHxlNV
NWu8h2C3LT2agOt4tG6UPIkQH/oqPSOgKPELwakKiodROuBIWbCWLnTuw7Y+U0Prf1k+7N8XUM91
WL74wEjh5af4509QxAMuu8yVa0698ulZFIekbR6s3gvPk9IT4Enjs2AQ5mouF0FVvyFAjh7bKkcc
IUpuKtIYcLhuMgn+Yyndm2dUH+24Cl+W4kPg1Mvhzx/6f3icta0Z7fKxs9//+plre4zNBfL3mVYD
DX6HaQeW8OKIAvBkBSVw2NXoQCs8zM3Ln7+19R/WPJ5k5Qoa0Eq6v+6HiuYt3zu3z0APifMqlnlj
eSh38JVeLME0P2iG+WZ1XrWRScesa9XUNpOJb1v1w7887db6dP3y9GGQkaQ5m47rOmK92u9fn+Ii
XHX5/3cwwSjhbbTOmVuzXq3qoWXV/Dzw/JGIVX3gVM4LR31oKKP8lzdb/f5q41RXDoI6/NDMwn95
9tdZl2cWkXmuTPMLPcEK5YiYPzveIRfZ0xIzghZOTgsUct2mfYcuwFYBh+a+qtg+BplhfWssdVzA
Ud4P4kznHuoCVPpmQc0AyRYgJIPL+0laD+CjMHAH8hzq3rqkQz2cHYe8J3swD51TuPgiGblVaGrv
4FjsBH2WDYYRZ5/XDbvf7OpdXGZ6m8j8aRDdsa81eXaH96XBme0Kup52j7JCNWvNITlMkY30q6VM
14DACOIrXhMzfLKx1u8TzaBwtIIjFA6PB2Ubq3C6Qpd0D+NU41+sjKslhvl1GsXRSFAlGTkYPIPC
jaL22g7jwlxMM+xsOVElvUmmmjd410Jlz12YPvRtZHE6gxDx54f3P2zY2sQIZWu2PQ4Q74vZ3x6X
ArNzPBuBQ3yz9C6kOR9QGnxLotZ7HDqT1DVkGOmMZiCxOMi0UOwKknD6KXBO5tIwXKbJGtboiu0+
O2hsqr6HlpFhSdWc+toB5loYGxwK9r9cuPP7G4+rklWW8lh7wnt/Ev924WE2IFuhBjy/y0QdNCaL
Mf/sw9D5lufNqwdeNoM3dkuXJcD6lDGTLvqHTsuEm8F2ioSGAD0GeSgfyAgC7KZdgXoQVATDTnEi
cJW+YvIxZFq1G5jyHWQAs6yrmDW0jLUs/VkkI1gMy8glFCwm+cQChWdrqh7eK6uOc/81J6gN7kSl
J5tIjZgeMrPli8zFI7BHPJnN9yZA9LydyHf0HZbMY00HrwGatDdePVFhSoFnDFiJadlCdS/4hO/z
AAN7gxvsWHbovBx7/PLnp+I/2HW0yR7NKmIJXuJfCepm3UbLAEX6nHnAb6borlUdEBqF/inSeDrD
Lp9pxDESTEsJPhlzObEHiCJSXYWHJv2X1d36bUt1BZ++tLAQsbbJX6+njiEwGc28nLm940m1SCrU
ylg1mzvCUpD9PxIYVfoKGqA9mdU+WlCqF4rBW0x4JpAWK/qXSvf3VZ9LIkZbmKDw2S1/XelgXpGo
QPPwbEfEdy6ju6FHz8CQeUMaWbRnbOR1yiUOkH7/fHIJUMzJ37kISwn/X27Xb/X+ei1ojS0Tuj4b
9i9rfo47p2oDcz47cBDhJzprusf/o+xMe+Nmsiz9Vwb9nTXcF6CngEmSuW9aLFv+Qsgb9y24BMlf
Pw/TNVVvvQV0dcOAkJJlZypFRsS995zntNAnJLjegV9apOtIX5l7Br2taIEz8NoU2dziHE7e3JZ3
5voR/2Ywg5Zql2IyzU7LtHz9Ny/0X3cnmwPFWpRgbqJA+HNpVhhJOtmNI4+KADWKd1I9lLF6Rh3r
UaflkEwNvCsVmv9bFHl7xdu1Nbe2l5bJWUmfjQUTinSsT0ksxEGMxMUJ4ZZn8MCXZDsh9H1uCFzy
We6uvdc3L6wQ5YmJJYYj2YT6wDJc510TzGYuiBbx3qOq/6kuyD/r2YBAp/YlOqum8mCiIAi3MpPm
4iqsTtqo3GJXRllodzsDpb7ZOdbBao1pI+bSCXudcOcGs9DJSmhto0zbmoPr7IauWFVkTrWnWUAs
FqdUsq8qDPvZMt+4pyu6kvJIb5TcJltx/RoG4WkyGAs/PjT9DJh1rs3dowCpGeihfjX684JbEndI
Zd9gOFQBwJvB0T9pM8f5LI8/lXrzXnSUuHFahIrZg8+L3F9CRQ8yGguwu0pc4sTqfXsAmPZYRDOa
hifVHV/mdnhX6wVvhBJKlFZnwEfPnQ4CIJ7QUjhmfImbzwz8MzwHnne0xbx/VNJpJH5NoO+xBgHH
b9gJ/GqJAdsVKXtcCbXWtKZ/c+b414vf0qj08Rt7lgEaZD2S/GEjSCscMqi5wH/m8PVz4T/O0I0M
XTzAW2CPzEXm//ndb2nc9sRVMKRwjD+fN/tY1ftxSuB85nm/VWqTeJbRO2UKuJJstNNgcY0dzAS6
NKiySsw8v/UK1mC75//6ptL/VOAAP+OopbMTYgaz1H+5pyqsH1orLFJDkQ62jluduYnYgi0atsh+
QQNyFRA6dVFW+PPq11gcrkSrdry3LFe2CflHonLlJU2rbxxEaBzrit8gdJyUkrOTxyh/SZ4Mxn9B
jTLbX2qxtXISfqdJ/3crvfvn9pLJz2Ibtm3ws+jkeFirlfQPv0+zYFJpIto+JlObBpDBNdKPLPVY
dhl97cfnWBa14+NRXhV+1xAGJ1fQXdbjhN48HroRkqdNQcLAFsrBG4GHy/HxAcApYk17wgQnLLIb
+bql1DQPV3553ILe16ecgULfgy1Eij6orRGAHNRJdZoPol0YpmS2AdEgU8pN0hBq8beHKsoUJabx
jHPcOGYJqRiW3f0qvVk5pjXhI1YHwkWUXWT55QrQMKIR2VJhlHvTyvdgLphrZyYwU+TaERC3pZwI
3OrXhzNmIQYS4J/58HjkdfCgN2ql8hF3ModVQ32C8YZZRmQvfWTilo7aeE8tWuwn29zprorMZkpe
2oFNi1UMxVz7WpK3a7WwnBlZkUqWfErK2No5LXY2ZgnoxRU7JRUjeX04M3/br9ALYrkDMm1N+IGG
NTuwKcz2rqQfWi+A9pftdTETDuAinbYGNq2N2tXxvoyIhpjQkugMN54zbdReqwRqKVqWcIpyRgUF
A1ZwOeLk4QnaFazS/lySZOKURkDvOdo2Jsm+6zo6y+ZuZnGxaeLc3RZmn+wJWkbki0eBGfilYvZ+
GIhn8FWnsl76nOg0eEXFlvKFyTwSocCGBXQmkWA4k92MPthukNzr5kJ0Lr2mvhrvUdSqr1msersY
7bAwvegFz7+ft9xDqtIa7EtdowQJlB/UfuYlJqXu1mYIZuscBZYtbfvwsOuwbSnw2BldKQKGSdFX
2Ntn7PK4tfZcgwSSVwniVWPlcBGPQWwp5bRnxbBeu+94Z/e9IbVXaebGBqKoggeUlvxcW+UZlcuq
drLOVo7yLMZHsesRue5wbmkb+Kex77Uds8fIfkUwpocZ6ppdXeKHzAEH9W6qMP+J3+gR3bBa0YbS
gEBDkzvopbmPKfbRqC/gsiNxnFNJxhN5a632pSqtN+IDvrgdWM9kSPCV4oo/6IMA4+pYe2KFsfLF
9cFWsfg3sL0DMeqfEc5ydq4KMwSyk+67JJQ8aTaI6c7L3PQ29vjfHUo1R3boiue6RaWOkez5YUyd
V1nu1HqvOvquFVkEwoWj37mahlutLYNfKVCDXIm8aizSzyhh293ochk93MURCtu7OTJhUlI7/S6S
DzVe7J1HNOQOeNDq9ip0v8qSGlsr5TouA67XRX8i4aB6lWjEyRUvEsRJfFq0wwUjj8Zqq9przhYk
g0EiakmM6U54LEOQMeu2Zepm+w7mumcp1d6AaM28GPPihOEvNJUZTE8UGc/oBXj6RbwQ9+UEqqWG
mZKvXFK32GTsvL6bM/KsD+ZsNy+QGWCAC1hQXmqC1F6YsFbFqj/Cekts5qZQsZwiICj2Zlx7iIbi
deudY8S2KhJIkZxpliQHM2MV6lRuiMoAN0iSEahZYAjByADrYusdzRyH85N02fCJTuQFGCj0cBac
5G7OfzbEe5zQ9hH4nqarMgXDSYGw8uxVT1Qq/ZlWbxHSgPT81smMrVubREsqdXwAlscp047bV861
Pkg684kTE5YVr7tU/aBdPUOB3NM+Y9wB1iUG1hjCIopgJK53Q2isPPHzJ0cb9nmquqS9WdV8R0FF
FgSWq1E67dYyEzjVcafdGm6mlnLWjxFjHlN88GsDVx7HVjlnLn7imCHZoH6pG1hE6Adec92L2Cnn
Oeib+IaA2IU6+52NgQlrZ7jHvqTqoZJsYx3bJmJec9djshijESHU3Zu07pW2vLZVW6i8ZG4UhCTF
p3I6kr3sYC3pP4q5Ag9XQkuOm3wgbHaMTnXtPnfqZPGWfsCUPnj4ZI65hwhuRvy+TRlrb2xoShtL
jOWnMv80dMR+47Y6pajJ9yOBM0wZs5NiscUJz4rwgDToGh3S5FCdd9OzksfbRkH/odXere5VZzsJ
VeyiPHsyK1p9fcONDwTJDBQVT9qAwvyQlpV6iOfyE1s+CxUaVd5tlUaf1w0YktC3+ZyJPSxI0xgU
DIMBgdqbKa7lY5qaNaiITLc7NXhw083g7ZS24W5WrauXGb/y2A5m4hs26AJwSVuTFaaopqqYeTfC
2fo0lxyX2ygAr/U1amd9Aw1B3/auxbm5yG+o7vk1ZI0adJAemABLnF8KMdkYBXCLLVdGkjTa1MUL
yEInthfbcogrptxFC2EVhaflJ6Fe9EE1rpQtaNXg09ykIHciQtaKNkk3Qpee/W7qRVA7untGQDeE
tQVMGOkWISAdb31fzNu6zaeDZbR4ztf/mqFw6msrrQXpjsvNMb1IVqHQYQl1WYNeWj3OfCMeJsQT
d9MyrJeWpbIkMPe+ENC4k2NPcq6wMZyMORafaHABwKlayDuZhZZj4aWcu9Uykp77VKLKW6bsQ/Xe
bDjc6eC82/A2Oqst8GvV5iab5PiCSs1/aH/rPGXMklgfpWOjKsyK5OAp5ONGinkpK3MOxSjulJQ/
9LTdu6O3HDQ1MDlKURhNP5Bz4D4suycHHvRGrTVrbw7Otcjjq06P+6Z38/tsNlFQxAUxZKq310mU
8BcDqW2MPdEfYqntOKKF8FPtfYd5YuPQuqQXR9WRmMQizLQZ+g5sGqz9Q5m3WlC35stjLDP0Rn6w
FWHzuquvhoqCox/tc1+1J3MVW0+xAcwmP9eZKQ56PjBOjmKM1mMP/tGT097gWbSykXAD610aJ4Qt
j/ZpcYsfbZ95K+wsMGjw7PpF3NvJyPkxotmvowXkpxYFyXKqZq+5oi9DUmw2CoRCBpyeKrww5+1I
gTTQCoIgMAMI9dzkYmGf0ECMn1thB+5iWIGI5MfDWQ6xaeO2ZRKKpSNmu3c3lgdBxgME/BiG9A1J
8sOYB22racGEtBXgLz0iwkl00s+5OBxVkmbVJIFbak8N3ZFs+K5a2xYxgiki70B+AUExUUPCuYrh
3qyw3tsN1ne5WhhxiOITFgaDuuQb0uJpT5bUHUVrFcwZ6cGRPURHijx08lijfW2lt0bYM3epbn2k
kWFcrKVbjUrZQVeLL9EkzS3zUDDXJeYFB69PqlakTzn2i0faO/Rc5RiVLZzkmgo0b+RLZRA8MJhx
wBB1Jg+deLPS6PYatl+do/kzvb3XctbVU7GgV5FRfijSwmK8PY7h7JBCjpyERBzszQBKnLM29BhP
CKBbk860EFNGcaQtWFIwW3dbSd9YxsVR0jy6LWzGBvLWg+EmLCB9fh0Wy7vROrFTBJQpE0EEloz9
2m78SvevebKfHoCTOHem++Mcimh6W3hGQpCca7CMI+lW2l6ECnd+oIhFRV0IUlkAYjwtZmCCWj4g
8uiC2HDHJ8WTB3WK1Us/KB1KeAvKkGXnO8jht0w1xU4pC0wzC8I7mAUIVbr0mzPmy2GSA45V0qmF
lrOhlQrJL2azy4zOY7mHKL5YEjN4Gh28qW2eqwVQgqbY684Z76OG55rG/PNodC9tSVS4JqNnukXo
oZpcv0GitFbQ/rCZsw4xH6GC+y6nasHbhDVvJCOqU5ebPgAeEKVUvs5GccOJNNiK8ytKMn5aoX5Q
DyuB0PtzKpiOtgtd0D7XiLKpON+YXBsEN9WYWg5dg+mIHD15NvCH7u3W/QYdQMc5dmp7pmRLNJfH
vG4JhSBeEuMGdKffIuAOOAHiUcapmIs2djvLIxyfT62lhwlZEE+osesDKQwAN5PhyTVK50Nyg3kL
tqCh6KpjjDjymRA7NJ/CPqTxGrY1DRkG9WjdMyi1pjI5ZuYXu1U4D1YdkuSma7SgR7J27Jo2PSTl
fI/bpd6a5hJ9sRPUNpMNeDwb7/FIgreVdcaV0IMT/g18LWmi3wl0vHlQ/reaNIrzjJfaSwvv1TWS
U4q87zK05qmRs3iyuqZ7GkcUkWOzmP5aPzyuW4km3JcChks3oPwdHGN6nqTQrtlgeG/sPl5ozejh
Mfps5wYgAdlyeSCcQYBcnQ+LQp1Hhf1metI8KaWKwVLVK+jMzudJVBYzOlbbKFP9xkMdWglibFek
TCMQx8/5ZAJoMqaXsgdaQEzP3i4wdtM2dF8K9z1aLAAomvciwa/85opwWwu/W1K29XVcMOjYnrja
MC/WEWPECnBLRwJbVoH6pXGG5qqaDqUKONsVxCCY4ziBA4DkPXAeKFoDwEWRLzuvkNANito8s9XM
8CF0BEhN9YtWhhcyVdH9TpSDTzTSfFA1XBHRZBnbDJHexaiNLWKe/FQybDr0Tn/WJ0JyJoYsrgUh
ETAHp48ZCXOeN7veQ6oxqb2yE4TH7epIfamYARAbibdqbW8tXfKdjE08ODhfYRpDk8VizdKs26+M
4F9lNV+FgqvL5AQ3V12G49HCKNolKNQFXk8Ntqba+f3KMuoy6y1N8eC0XdGF0epqwqrf3Zp2JFgy
9vBZae6JhWTc4a8mSJLmV5AO3YfeDwZIspHQggLlzmaM1zWsmpVPKvJlwgFo/s7k8pHzzrBsei8s
LCjztiwKm6PtFNqRRN4eNxX1VtVdZd/nR62PjmVf1Ce3zb/FcBOId5hwdJhMwWqDedgDkdSjnw2R
bSUEbnp+SgvqChNnW1mdeDIyDpJRJr7NiQdjeCWCuulISHmJ91Nn7mKnUxEASOlPY0zSdZlaNMxq
6Ksch9OzVZ6aaIkvU0vQCSYAbyMYlSABB3NiM2S1Et7DChWVT98Cu9kkD4Mj7H0aTdcYweV+0vVf
jpitC1ED59nFF9GZeFLaOZPQujsjUBXjq4niOLSpKCiaxsUfef/2jniTLkuDbrCtD1I+P0BQnI1U
bnxvQ07kb8wEUnPtGs0pkaSJuICNfW1RLfpdL9ZoLjuiYE+HcIy14kILOZL1dJbWdHSpIQjNY9VE
WRei+M2hatni5GT6TSO57Zn6nMtzNciW6XV0y6Obe+YNX+4J6PqE6NaMCYGmIsq8lpQwsjR6B1nl
rCTtWbTN4BeivWnNMH8mhRXmS6OSUtMhRDdxrTnj0l2dwTqBfec3Dx5iG1n1Vyn4xof10IJQH0xD
dcuxCgHiR33Z4qrYkLr31g7G60j6DDajeY3P850sAhMGg8hn5f9WKgkeNGj/F8lzHjxpvSm195Wz
yqY13WKHrZZjLk2NXSEqDDRFdmm7ksh7qkxRzb8bpUVjG4fK0badxuh1sdi71LVr6Y3FtdUTDrxD
8RIZPzVgXNjD25ljlbVXCdX+7EYfUBS/xROeGdOREaT6An+kRtk/6YYbYrPUgqjr4y3Otn2MOyZf
jC40R9gxiZdccA7+MAcOcg6NAXC1rUWWEY4gBNO41fTX3KAlpmmD/WPx7eqrshjxpU4qqh1Xe/UK
e9PF9rsxWuNNT4uDUJ3ilLXlcywovEzDhPsSTU9yNhUUWEoe9rnt+l3auIe010/dEM9hJw3rY9RS
KwSjfLDzyrhRi5655Gu7mw7oAfRASfEYP05wNaurljK9SFEd8yN5CNqAMDpjhaakj3eL6vxKNPpR
uDIxeg/IAuTMvdqhWE0c6tdasux4nfGl41rfJPHcH4xlnHBWKVXoqXPIMpFu016e9JkR6Ki1198g
yFVABvxpCrJINTA40JWYMrMIyH82ttHMtTkO6IyrGjsLSV5qmb149mqv7BAOovaFSm0qAfq3hsTN
qOfkHNkYZrILrjG5iaOlAr2DRWhZpp+ODZxvUTOPjuCUrF7BdUHvfjRZKvawRLCej8s3ZQeXB8eP
d5X6II+21KU/GQQWPvBdUAVgJ03I9mO9b45Sp1n7EE0yKCbxieblJrcAuljxtDMdQReWss6tmm5n
So7dXkE5xRZkj+h5K4zlm37MQx024nHs84+ht9MLR/l2I2yy+VzOTYek7p9k7wHb7hy2lFl9NE3p
5K1fU8V81kotDgyrGrexHN+lSYaM7IvKz3MA6LPjEBXtSgq9abWo9BKhTdIRY7Lu+EMPSaImD1BQ
bbUGvjCuSWyoQO2mopRf7E4/pCauZ0e9YqJVrak5VBMjsxngENAVH7jpdEfi6WwcwaRUJUhlIJsi
YpEdXLs7Lar6tADWvUpyNINBEOCqS8m9QyHqrsVO0UffhISa4IqBq7kFsuFaXb1RPZkdTdBf/uLa
u2IdJqp48yijJHJ6kryYnxiHBnvQZoGYsY8WjFVa1H7l7zC/6MMaQqudO9ledTnZB2XGAE4v/e4d
65sPscWmW9TQncLVcshyolw7DZizbncvTaF3z4XI6AKbPa1EpbyLqy0t88nK47Nw6++qW7hhM5rt
zkWcQKMCNjYdX+21Zas6VEw9alHfSWHygc3h5ovYEDCYH5A0z89pAd4in91Vv5FesmeCf6yTPRRa
wPJxd+wZXIBsY1/PWKKB6ttnTqLjfKOHHBgChkcG7fQJzSpDutYmmcuWHXdjPt8MXG4YhxsCI5vW
eFJcFltT79x9BGSGwD8cjdTKFqOI9cptocJg9R12wE8BdFlVzCC8M31I+TAaGpmE5aQ7xNwO7GuK
TrvaS+13Of9wE9xZShNRYupTcVVF+RF51dfBomkyF69dqeuf9HHBbYr+EaxHc9Kt8Qc1fxJgmiqZ
WSzJjd0qMG29OneASrYGrm1ie/CLI6N8FpYVLiycL2RQ23PiHi0OTdtkMr817Zy+oTf44mpEHDme
+GnR74zzT27lGudhUJOLyYKsoSk76wPjA5d2y96qlp8yrROsDaRroeI236LonYrotaRj9FzHuUHQ
Wn7rh0JlkpGSUpEkGEwlmY0c6M+yop2uZNH8IhqV26efLTze7bCJIkmC+kJPKrHj7gmP15vOEehi
NGdFT4k1JjiZ3OEkH5gGtW+5NXRBm4v23V2tCJFsplvb1uqT1Kov+Oma+1x3v6oBGpkuyWbJpeJ8
XmZS5FiXlGs94/3I5WJudUqvfTd4GQcopbvG032AglTvHLKZDCdDFEyLzYdAwlplr6ACq2/zs0A9
fYzShQYgoOwFiwx+HmSyB5ScNLq8Qt0kevUis+lzVCvTNgGhe440eTLW1og9jyOnbYq5shbzFR3d
fNVZygJlmujqDvOnfIjN+zjzH29MXlrbSk67Rc8QmsiklwTL5t4eVW6O9dO5iYYX1TuYdqHeijrZ
1U6tfYoTGTq6Wr4Lpis74lSbLSFD/SeiWg8c/IPRxu2+CSO8ylyPEGpARSofWjO/S6Anb6Q8h6Xr
ueFYBsQQ5OdyQUbmldbB6aFPUcW7NrlZyQB8mOfGAZJv1pF0ht8BfN1gh7tn/vz8eR834wb/O3/Y
r0O0ljt4ISfrqt/d1+Kz/YNusN5sOrmRBgZ/SC6MjYKeEwSRMz4pn1bosQpDB5j34I3FWbq3VL6g
Y29gFYsA1ezODMLwGl7frzjLNh/uRvOjzRROob61ju0hvaf38c39YvwCe8Opt7EBC9LO8fGI8mn2
3BIjazH6CHMirL9NjKv26oEc+ru866/dO6k/DCNzPFEkMgmfxnXUEdcSKv12kDt6+bhXUYLgIFGv
yVzOvtUkr8nQbDuAaLilGFQOjdvsASGOuygbTKz4wvMzY1YOrqyuvxNqhuSdKN2JG9UOmVsb33IO
AhuOswpo0NzZx1V9JgVSftQNMIBhUurLjOTuPkj1bYmrbQfe/TMPMpRJhE9XJFx/ppPsWwIJQm4l
Ld5y0/xsjKRNLRnHzaw6GRg+Kl7Ey2cR2hs8NvP23ssAR+bxngOuil7uzhO+yraRdmB1c3t8fGjN
pj224D5/f+qsgQdxg+vnH6EBj1yAx6ePRzm5S7uhLM8a4zQSGbSzkpxLOrfbds2a90heZF7Ooz99
KpiO7BdrDLI1Wr4uHUgeSdzyUWNetp0K9/nxN0tkW35qCTrEayx6lBlnhwHh9vGXjzD6dozr4/oK
pNSVP3y9qRyacHhwKqmVx8eH+BHRuUaZ/+Nrj0dgbdZlnz2bFEp2SJ6zq9ivoyVqSc5eX7+VNtSV
zHT9WGuw4QwEvHZxvZv7QnQntdGHXQ3ebbEIRX/8n92alv549KevZS0AJ00UwmdO+mmpWvD/jo6R
qUvSPmBDgwiltITBF2517LB1FlW27NAx6iw9eoJDiEG1Xqh//PD4WuyIgpYeedzru/74wDyW3mnq
5Xyc7AncjYJEgrQPe0P2NpQtQWhAvj6RZLz/Wzv4v//JX9P99T/5/HvdzIIObv+nT//6il2/Lv9z
/Td//55//hd/hXMv6q7+1f+X37X7WV8/yp/dn7/pn/5nnv1vry746D/+6ZPwweR/Gn6K+fkn71r/
eBX4hNbv/O/+5f/6+d8h+6/QqT9oS9Yn+Ns/XH+C//Mf/1fkH1X30f3H3766grJ//5v/z/X3/oKp
w1wHdphLVmfJP7j+5l9sBKq2rZuYg1wE8H/n+hv2XywVPbKreQZwJxS2f+f6G8ZfVA0xmOfyZSRs
uvs/4frr2p+V6xpObkRwquVoGuMe689Ub+KDdZNLHmhPwVwR56xH2jlg5dR6K0wnPQw6SmBpm9+N
ZYuM0DY0+2B74t2ZWjUcxi7dx/b84trle+cVMEsWl/KohsapKfEnjHsXQqxSqqOBpd5I7SO5cgFl
66CC8s30kmUj8szNODif4zmbdp5C+hjewlWkcOwZxc2Ws1zw4GbTVikVd1Nos7XVdSMPaaVDr9W+
ucwmGa+dVVT4flKiEu85Mm5K1MObtnZ+5TApXjom8VI3A33ICM+2on3RERKDD7ihZUfcEGBtC8Q/
4EjNnHzsd2rozMndrDz9wDGJ7LOvB9EknxpACLR2INoNLVjZcTGvpVsv9ywF3pR3C01xcM0MchU4
JRTgJRsTfDriahED5BkBwFl6pzj3U+k1fg3s6mbVa1RTve2zgXQstdRg58IGMBGtQsipf1aW8zNy
jGLXivqLN+vgzWRVneRymhci3ZKaE7haYEi+aiOc83rgDBDp5LV1l445hk0e+4569E2W+kup2HCs
yuSztzARm/rc3M6lgsff6MV2kb+iYrr1IroXWY7/XM3VnYkZa5OOjY0Op9znQ2qebAiIVqt6N8eD
IbJ0DZJJjgejqXGSylOssCounzzaRnG6xcTT0ikZ0ZAjnjehVexqaV0YuG7dNqYj7x7H2mi3TQIC
cCqyaGOIKd5ptNDR6kAwdGe6L3SqXhuShgEEiTUkrF7p7oTEy+prrebPdSeY4uCrdHFQkM23XOG0
45jr1SVYPJEecExd9bg9YgOHr2snRbCo1deWfJ+2iT91xNNXS6DH1XeWdH9IJvrZmwo6237gHIbR
evoKLk/1i9VAXZrkE6raTTJwRluAT8t2v6iCjbJg7Bj2nvZDadNP9Mcir3kVhVsfnQIFPzrWDygC
77ig6eEN/HZbVDPOyCEdaXUVRC5HyZQRKm5n/ULsS07UeRSBjQ7yJqJszu3Jd/oBumVrvqtN+nNh
RhjoNc1BozG3ktSf3iSwq2iCbOkJGJxx0pAj9DHqsXXIozupXFPolfOXzND3emnvZr0PHumFq/T6
2SnHvaFQYyTqczdZ3+EFmrS4431WdT+iJJFBDuyTN1SHLEPrOhmN8K3GxrtdeUZrBZysAhNOvPZd
oO6m36B1XhooTlv5RGKcRlP2vgH7O4iS77nWweM3XdYPnJqtTk8xs4hIB23j155NFIjwHS2vA2GB
SGWn3cjqmWDecWcvo70bh/QtGYAu27S/J25oelZvjWq+1wVoRtGfcDBsPIKlNiqUB8Su6jNu5ouW
chzhjuvRSFmpDisatjkFW+U/0BjTqhjHnrLTKZIUVzmATXkigSA0Y+kj8sz2gNHh3NLm0sF6bxK1
/K6P0Irnsry3Tu+GcwEkUKF/EuvyEntZvQGzpgdliy5IG/MBsaX8pRhrMHPRvlvUcMSbYLUQGfo8
82tXwNI1kepG7y2t2WQzJTa6icEHpzLs0wnNjNZbv4AxEHNfTNEpfnbJF6BN3CpAQo6O7vzglOFu
yywzwxTMWWz1pV/HZhKivuaAr46HMiqOeiV6GjTxl3w9trEHcJmbLjqsUXBMW5x3WvDP00TLjJtS
0nqoCEmLjEuGW4GfRnSBwQVqjNOFzhCU3MZLoeTW0d5JaF6VBB9ubKAnrGUpgqh0+ipnBfotUbcb
xflmphdhiR+5JZFzABZaHJrodVeUW5Ho2o7f2uQRdF0O2Q0CFYpEqCwQb/H2YzRW9i6yCo0hOanf
4phwq2xkTkKiIH/23C+zD2Eq2ucFJu/iB6UVUjXs03Xs3kkWBFmO2Adpm444oHAgLg6oEJGsnwaJ
N6WvlaDLlXGbRbqvEjrVKJdZnZcAhWjhpxO2B/DJR6dsYFDYXbHSBPyZFnUZdZfEjfVwUZMmcAuR
bicjU3b9PIeaB09ba4hO1ZI6JeI5ibd9W75B9lbZzCZyDoicNCKYR9NIVqYCRiqomXPPiSi2eqkr
H5NW6PupImHHxpdJvVXd8Fi8A1J0IR7114ksnHDqpi8KZf1hGr4oPYA5ciLroCaTIVFhcTfEYNOZ
YeKS5mRRxeTMQueGsWmQ1KpLkPSCsZPNirdqy6d8lxGNHY4CCXNhWG8u/vGWiSWeRyD90DPgC1kQ
YLOoRmszu+iThisRtphC0DUE0sZqocf5R5PKT+RnLm+Li6bKc4OBaFBfz8PRkPsqzgAlYmHY9hXJ
dva4d+dhoufY3irSDENc07HRtbRWnYuNuQ+pTHqMXGOPANfY5026l6lMg0kDIGYnn1LP3cYWvTnb
22HjIQO8Gc8iS3mpAyrAbrFq5hMWTVuWXSdiVx1RUtijzoQ0KcZQtm+ty/ZiR+iZmoVvbBj+ERZf
UmrpxyqfX/JKv9k9r1FhIaEbmir7dDRBXPbiYrerjiKan+bS/koRxJyU+Qr5kd7JimUwESIJN2T2
I8GNXKu09pshuUQZgvG57M8dANBerfcNbs9Apu3HXAawpk5V5CBiasxfnkEDVkM5kyTdJ0Cjxyam
eVhQn08AzIIh9dRgUJIbvGqiP09dBdi8tCiXo8XYa+lgHyDd+y7xgwzAvD0D259e/5kcItMXVt34
qszhtjBApx960GiphAooEQshLxdeDqjUBszMpJsNWiqwEljMAjQPy6YvJ377SFB1LjgZDXRGPfMb
QEWkIOrwZVRq8h2KZkfnzw6WLw4ZAij0y7Maufea09upKOduK0EhAQ/3vmoZKYytjs6OrfE1UxT4
ceuuPcRRe3DR6h0z3kAnIlnPiTvaQGX3ZVEMdZeYzcXRVr5G/NrmY7JVy586QEs2Q4uyrjtEsvgw
87IOuoadtMpjfB1rAAmNuQyK3HLAJf6k03LyLbD5fmrOn+fUaAMIo+BhFyKy8foom0pl/scdNuPs
0Q/ZWsBHg4YnNXHzQE8I8INnRcKxlYYZnAfwqNHBBTTg1wtYUqIKvQOnwAFi9WEy+K3nM1xFVCDJ
ZkS5640p1mYGwAFtVnSgSa4DrPP2g7eO7Yxm3IAw/ijyRPo50vJica/sS2Rj1GBSYgdgeDpygeKY
/wzxwF6G13EaPXoiUr0UDuTxzNmie6sDM9a/WA5CgQoBg+si/HqcuXCzBLN0eauzjqs2OnYK+tCG
5CGrGPala58bGm8HabMFwvvH6p1wsgBezpQHSBhgmpQsxdwMiGZXouTmyZHY0H7mJbXq81I0e9Sx
z9iASLJfNPIjAB20/BJE1x8GzfjcDWsUVdbANMP0H6rAmOgtO/+PvfNYlhvJ0vSrjPUeNdDuWPQm
tLiKl5obWJJMQmuNp+/PPTIzmKyarul9b9wcIhCQLs75xc4Yka+bhmA85T28O9QMdj4PE3A41MTF
ifIzDBqkcz7ljF2OI2aMO3uGCi9W8QWd7K8DuMVdW0Zfk3XY2yNK7BauqujYlfRu+XxdkKnZAjPG
hd4ef1io7W2iEq0ZAfx+s0w4WCu9JIZtLsNNhpqAQz6P1YQ6yY/JqX9bYv/QVM5jYSODkuQSn4fB
+dTI8jRkPVCWFK/BnKS+SxKaIaK8YFa07e1N1xL56yaMY21rQieXyC7uEesr8sbzLi/a9OAI4hao
AGRjPezmmli216Pj2M5AaLKuCbatCUraF9lrh27dxjPSt6sYvV3ao2gCKhL9Gjv9LTHN55LBiuoN
AeSQeFZelrPfmNvyLL5LEe09k5jSaGDZg2V8JicTHtZ4rYrva4xgvzfWYuNLeWXmar5bpjOxlE0L
LOmQVB2yaOILI70SAVQmPS5YW1+BjU2xR5mt2/egHX07sjaVHeHw7FcNMQzPx8y+2Y9gVw681mEx
1huTactOJAvC5OY5JUXzOGB/Re40/Lb62BYv9DmDwAoWtTJ/26HC2ksDQ7O82jiHLB7FASJLgfdv
zOAr759dIBHoNoHw9EBIZJVxzfgAzyAWn2NyycQy+48yhuOejemXgignbh71o7MitIZiDWK5JJt2
3TBdUzrGNwitPRqEXs8zuIhNJKfP5gAyw2nXU1s7P3Infzs2NKW+9SjjnCligAJqii54npnwz1EF
E5jOhh2KkDXTmJb86mT75xHCQgj6yMiwm5GN8yESCOE0A3FuHylB4B/vV2ZhgP6uPoCjiLEElJqL
UyIYFLXYMC/9uos84xvAS7NH5a3Eg3zfZUW9r3iRD24Y7tBWx5DH+JpOFsLBnq+kNOjhkJECLQ36
fT+IGPEjM7q4eHTFRHjjiwQuQqKqIUAc84rZVgxQjYEYAsTZTnYN3gZl5jBbRauU7vSHlOIp7sQh
teLgWGXgg+sl+Jy49kfLDPu3gTBezbJi2l+fcjdwt2n0XpQ8OYyCpkPElL1cmJs0r27NbD5YSSUJ
HwefiJiWbda/WRlyoX6SBQcfUhpzbKRk3cHd5lX2Dn3IhyAJQIgM7jsjiBvwN8sBpWZ3gJSQOptu
Bo7TgIk5xFZ8VWavmwLB6G0gmw8LkCxEdOFfR4n31ei893WKZGxnfwq8ggRs2tLvMYxyrJ0XIwwF
uizZWXW1HJrMBzrvX7KM6OzQLQ6yZO7ByVC1GqvPfYc3QJWYI0mOLxPkyivuubuklPKYxvZbOc/b
3HTrd25xHE0bN22IPgwRXsxO4omHCvNuyHaz12eA3Trkn9JvZRR/TGXjwW/JH6HwAs/6Ys3WD4y1
v0RAD2VvHtx2JVtH5AV5/mlvF469Da0BRL2vjO35hmPEXKHaW5C/JTlF/EQJQYTnqHspsy9TvwBC
JY64XSck7szp+1D+sCd0oaqJJJs5DOg1ZePWmwjIz+gWwpYhmw+Vc7ci6FX6s7UvohTMCo4+/hS+
CUnkxwKLyEzlyxuLdOogH80EIIVL8LwwbL5QKV9xvAtP+PJuC7j/xAcQTJiWYTotIFKrvH/oXejq
8UCMqsMoAyGJd/bUiLN01o9oxVdamjClcalC6zErevvUM+LxUyvdjaQfd20EoKyVOASpcUkUMm9y
8vLR8gzQ6BKbVDQGPtRj8L51+NL8/gPIuvXg+Pa3qYpYAdZwcRuyG4wchq6PH32iWp4dPRZ18W7E
Wm1KQN1DIePbJHMPQApmZkxYBgJD9DZfywtzseWxbwgN9fWCpiVMYgU1/JTZZveKASbI/XL6bcXk
qUsBpjrOJ9+Zt48wM98ma/xudaQyXKABS9x6iwVbRViZZ32r6uW0QERNVmcj6dNTY+C/1PZ0O6qw
fHlEAsg96qU8sonlW2V/lG74YiNEBinTPIdxGRCTXo1DOJjPI4QOPpLh3BWudQ5V4N5bJOFmXZ1y
eeyJvR1jhVJuswG1FyaTYNCCg0I9IVLQjW/iqYExO/0AtZqdY6VlHdkxjG/7w9Chx1XLEZYH0ztr
xOK4p0X+NhkvfuwNX6e8PmMTSISbfO0VkSR/aw5+S4gDNSInAZlUDGTjjAboeh+133wxg3JeCVh4
IMnh/u250+XeKrB8tOwMbA8zxThAgA70p4jdDfCOFycUj7ghMYZcoBUkUX02+4EgkJUwpTNPTtcv
r6FRQVrFq8jE7dvwmm80ReUmcvxHFLAv2ZR/QR7oqYqMaYcMPnLboLrFtU3c95Mjs+OaDMCPY0Qc
yDcUtSxIcdsr6JIviUXTXgyjyRsigSJJ+zUPpA0wqf5M94AQa39p8MsD/bOupN+9hxCuwcY3MveI
vVuA3ap8ynr/c1Dbn0j9vTY1SCIGiN+GOUAqDU+fChi561vDMW2AdHcj5Fonp1lZa4wS/F3GS2u+
DEH7aC3K0q/C9VzyCdmlRaauIQm1mM7Jy8u3q4HJTv1mRBrmWPU9znNi/FQ48VY4YbRBRzW7TNMA
1Bi/r8Y5tGW8xUYzRpa5WUP4BdmVcMKT69josBqQTUaXtHwA8Hwe4LSZAjKG/VfhlGV9IXX9xzqM
oBH5c+ZyK9ewAotcjHtbGt/qIrcvSFs+d7xKR70UNsX7rpBfk5GoiUIE7tYcmw/9cfg69WNKPNWw
DZekQDFgzkByX0yV9CoD0D6KIeXMzSdH5WWmNSjo9NTGMV+XXef6tFTqtBCnn47JytxvFdZKIIR1
/bjgsSqmWIKRd47RmH2p3PVNmzLklyrXo4sCoQRuyl/LFg8KC/v4rE9RFwvoAZQT1Ped2ieXcPq5
YmbUO2lwQNW3VWmsVKeCxtkXhzZsH6POBsScqO+P2WaDE89H/TE6goiWPWJop65dH9KKoj+Prv7b
yRICpJEshmvDn+S4cRz1FXtiwBxL3we9XMZBexD28uo5w9dgtK9DTPhk6ni63gAnJm6Sgr52ni4z
ZEZAE44J4IozYjIWTRc36M9gDPqjUY2cpDpT3YroRUTm1q1U86ZWXbU+9dbJPzX0VnQxymHbHraD
P7pQP90eR7tqLwXNbzxMDBvt4Q1kRvcwwzElPlqg6reZFxpcIwjKQ1MGr2QqAB0tJHbrajwyBqNN
KIIAJ6t0JSxFrg+UlHF0/A5yb5KaV6BViJq2AzOymTx9oLzLUQQv4GgKJA9X5ViAiUx10f+DwwNz
mXyFymJl6J8aort4SA4ix2uffJwSzS0yo0t9UiMM3f5myno8ADbaL/oRgpB0G/ymIry6yI5S6Jou
9BuHnOyP1ZyL/QLzUUVWCDBLpGBvn4r+XlRh+wsNZi0EzlWkBElrJxDiVGMf8OONjDqxqxPtOg7+
tuwQLwAEzUAvQQSvOtdLEzPD8H6Hrmpj2Ow9SSIFB3MZxosuHNGilA4/ZCOU47pTNxDuQFcJKOwt
cSNyqcS7aW0gBicdQ3UmV9V2yMNjpuxoZjq2ndUz69Efoy5q9T7rGiYN7amPUDRtywyhjiCBodWQ
A9XFql6NbwMo1gLBYyjDkSITD/57s0z7s34OtsqA3p4I0RxpG9+M0WMq6CdfmylYHpjqrQ/gWbuN
F6XtMTLX97MN0NdLiufFkM6jqYomiQ+DYS9wSeMPpseUbpbLH9twUD96qS/PYq68B6S5xs1qmHtZ
M2Ei+e0++JJIV56gXaZ2KKe5u9oI1uptVjE9oH//Y3KxiHMAB7solxzNbOw39hSN7iYq2vGIHFG7
aeuywOjBOY150J1g8h2ssa1ooEIvfmw8YhDeDHtwytRVVajE5+NbYgtEcLFYIaTNSZstOa7aWEco
Qab9CMw+BcfGouGuXwPUspsUR8ReuNexK1FpKR6HAC05mv4SH8Mf1QAxEU4jMSQCbgqclZ2TNj3J
yDcPac/seQKUCY68s61HmkwUwNtBIHHqwS/K8oc4a1Y0ggwscMccAlqMcKY0PjeRYDaVEuWsiqsM
S4nJQ4uVVj17b7ABSzfWXHypF6I9HvSYoVmnvVfzMoDx/QZx46VADQxhnTE9Dg1jbPMhkfW6j/1E
+UbV1yFAktVeMCnzUeZnehJH5DXJeW9hzxfXeyFm2984ckXqKnywR+EfYhm8IXBr4hS5NPm1sKAw
YTrFGCRSoAK6OomHH0pH9kV2hs1QiJqbYnOHm/IJWebiilBEfiuEJMgZeAzOBvH7vIhkF3vFHhs6
jHWXyL5YrmNddK1Ri7p23xB3NfJYIWTNjIzpVm8wY5fRX+0Vu/t++ih6Z9dKPnTE1w+NafiX0bX9
i12lXUlejirWTsZpceMdDqLTBatZvfZetChh335Uol+3gScNr3x0GKLNAr+j3tzIVfUkxMkvUWjK
y2yCYpwKE/FwNJ4YES4dL+fUmNFmbPuvBFdcDmBl22I64kwWX+uFLyaonT1dAc+F5jFClt6k4zzX
tKpA+vpLYUDObfLJ34oom64WYsd49c67rmAwaaHp7YK9RDA7qzDdAsuOd9I3D5V0uDAfkx6NZNDx
iEMj3g/Yw5GAf6ruXZIxx81k8HHKJCqSTr3hPp4Itw5PZRh/z2sXJJLI460z1aTe2r3doWmrYpgX
J8u/WNNjukzEMYikjT6WIoadf5vNBn86bhmQkW+BIOctexhCzrs0+IT+a7RLPDfd9u7yni7bBheN
i9EyEemq2rcCnuNG+imRE+h1fSEQsnePTZy8i02wIwQzPPSMJWI9xcccUcPQQbYEujGdLC0e/ibw
emvugke4rUxfZBdfwjxWGbb43Vh8SYpR0q49A13CXcws8Gk3TKSew/dgsvnYUU528z3tYH22ypno
UMNgYY23ViryDcK09ZMkrG21Pl99OF6knfdXFZZVo37HqX8IA9a/LWAdpS/OolzaBV3pmvdf6Rmm
g7Sfc2O+kMd/mav5OKXxp2Yhxxbk73oSp7xYfDE+gk3lu1aE8SZMMkCvFW8ALeUxCGZkgaK5QYc8
fV452Eh0EZl37hHwJNhJRIyxGWj3ZudeBY1i5CHn5JWbtV6eANaQ2H8HkKndjY79gr9zzxccwhTk
A7abnuDtaj42wCF7izBlAqcfqJ3SK66L5LdacSqL+FCVzVNekc0xXgwbcBB5Ej/I30CpBTKJfXhY
PvkWfIZEnOM5+D4KyBvwNTbxmPwGcGM/D/uhdkZ6tDehlKDqOmcfVCUEdMu5Grj3GQBXixjTEbxo
YRgpv2WLkF+VYokZ1PAD7AcCgRVTVfMRNO1xmBh+OuaeLMQD4XNkbJ7yH4Y9npKOp+q13+Z6fZRl
DlwyunZ29KH1rbeW/xAK73vrPGVFQyDMZkI6EVwjgXxu5gAyjuHPO8933M06OtaVr9266pouBiey
r4ukLS3i9Eu9WhCZBEO2zF3jAyCEj7YXImTu54qKEcdk1uNNoZoAcg4N3/hgHmWXwtw+BZLR27wE
7cXEbwDpm2BSgzOWuw5DhQSXyM1k9ygF4Pi1TYkwYl7UMIej5Z0Aq36OGXugAAGKk+kcoGDmmcQq
eJg90dJLqwo7nghLwR7l6+zaPdLcTwOOvAlKllAZq/ZiBcxjEx/FgkkNC3WBGu2bDl+4Q90TOt4k
ajC3SKcGvzV/9UHOb/OCSYxQMw6o4icZiuUY16GCE1QINYZAsfTG+Tnt8M8l4lpfLFUobYockMCI
hBWhZoSvU6An4LXSlG+lRBZv07hKR7rkG86sdr7gWM6DJ0GH762H5SaKkDTBwXaMvQlrxxV5mmk2
SzK6/nSJVIGAD3f0i6PG2/ibv5UlV1IaqsvTO7UFCYPYhypmp9xqBQVkstbhcqGqc1qH5xnjgCwP
952MPtpTz+UUScto0VNXPN9GjySD3AFUhpELZ7iC/WbkORSE4tUI1enAG45uxXzmvlxaKN1NUX8M
+ols7/3vNdaQxB6ZbtoW/PYuRYZfod/AYQgMEx0UtU7XdGGgD1vx6TM+CuYLQxVxmkW8D/P1s+PC
PSWV/sGD9HGlL0DrLyfIVJWCJF3lhMg8D5/MDo0FZ1TJQoa//mAOF0KBwyUSzgqx0CMJBJHzooto
5YONjPlYEhuGpEbhxWIvQyM99foKO0SodjlDHiIBqb3tlVA06szwPGrnfW7QLO5npSttiQpn8xa7
5W7AI7xQY23mXkw3Ej/ao1Zoq/vMyrzz+8uENY+GoP0vWO/dUoO5++17kaBUABss+db/DLxDTxQl
q//7Mxrwb2A9bN2r9rfv1T//5g+wnmXa/yAnLJUslm9hsQH2b/q96//zPwzLDP4B5ssUSNTanoNU
819gPdcCkUf+h18idC5tE/mlrhr6+D//AxxfgEIkslcg/BzBQf4nYD1OAyGnn5RKUVsmek6KT4lX
eQTqflGZNYu4NvGIM6648RYMkYYGsGcOxPev2m1dPfNBwkCCGgHonrre65+2Yf687uAaECdSR7kf
Ty/qorJoQIkQE5qfgpc+G9wVrlX+hiRLfyjVXCvrYibCXYesQhFJ1MvUSoxI/ihgYbH5tlNbphkh
CrVN75X/fdefDnff534kXUNfi25xmD6PA6zp+8Zf/nUiqkxz/9dZ6Nov+9zOrDMEAbhgBsj+13mV
VvcRaapgb+T9uRZMyPCfa2kT6GhM14drMGWq+9FrdSH87m/LGWkVZVqH82OMFqrhRWf9a70qH0Ex
Y+KtNt931Iu6uO9521397U9/8K82/7IOHLo8dJkP6AmVFnqW8/1IuuYE4lGYDTMeFRRCr4Hhsq7q
IlUr74s2NlHgi+lGbysH1Hs2EFbE7VHen+IvD1Uvlvr5A4vBOcmH0NX7kMe3rUswbFEvHZijeANE
hzR5rMJi+iWsijqGs1sTSVU76nW6dvudfqVtoisHC6Va/Z4uep3eXFgWrghxdtRLzCUkU7eeEaf+
z/t+2Jy8+IOYDnrD/eXXi7eDqhPE/XC2jCd4ZnQeie3zMamqLpLJwhY8/61UrfkStaphV216porS
npnQqJorJMF1dLO2ieV0eOPkMHB1FaVCYElNdCb0jzu9LAFRqLiYLph6DYxXCStYCEOf0LbY6/U6
cqZrZhYewXGZRx0QDBVW/BYVvC87beXsc7/8rCN4uvBV5FHXdGiPCPQfiwQ44d/Ucn+LTaK1gueM
e7rF1ELD5JOSSTwe8Rw+6YiZjqlFOpT2U9VJ3sweM7dumZtdVuWMeGIF1y90VaocwtSgMu0VL+i/
IrvhmRgxcNV0uvyFrkpvYESWF7gWVkGImrctMOU1BDa0eIycUkSyzf399AWTl53dmKTA1bur40k6
1KkXdaHDn7rGcPiRSZM86OgSkXYVTFsJWGx0ELiABndYl+6Nvgsp1lG3sK3+N3MwFiCAxLrUoG0J
EsYla4mCQbmAvprEnwHQKFGxUI+03a7OgK3mmS0ucm0Enj54L6MSQfzndl7WyogrTnlDKzsQW31S
+pm4BmoAIeFDvUo/sPuzCg9rTRQ1D1fFf8uLDzXjbrwe1WKuzhkbFGPbhip5ayJSloTROVJvH3OC
D8HcRAdcfs5pQyx0VdFVvU3XXCTPbDfPTzzx9mKoIZmuBXNN/tdoGHU2MdobljN8l3qE16sBpZOR
htm0qqqXyzV9a8msvsX5jdEhlKzDmDq0qWsSTxVepuhBp6IsFbxEHgv9CmCvFXeLIoLVsPFhhxEK
jD6ZRtxdoGt3F127L8qVaRMTkx961TBEnyWB8X1cDbwSOhYrQeDCu1uxwf0zPBuD3DmCBzzNGXYh
bk57/9fFytIduNi/lmdylaQBDGS1/7rC22XqIbWvxsFQZuyzWWBp8GcAV1/lPYBbK04O2gyHWbbh
MQHJvjXdEckjdeX6coUxqqinLvUKNDy2vpjskw7gDjN+8oOdggW+v6/67UCiFbqkDybK6VSHf88u
BINxLGLHInnEZ68L1y2empgvz24NWmA1R7oXEaHLrVCMEv1UKtlMRJRG5MKYHU1qTuCqblsvpmZF
IkEvozgK0n0dQbDrAcGgeC+6MGUBnRAAwQHoC8Dn0Ql2td0rN0/eeX8OmcoIHMvTYkRVEyGLi14X
lssXUfXpwR689KoLHw2LTV+ZFuCYwt05K9rag5r9IZ3VXnRNIL+NQVbWzudWvLUmkuOilP6WeFB3
qQusMjb0eyQTVDHO4OZUUHwfmRb9NwwbXnj1gt+W3aYnQB7EfN6RtUPsgG9LP/5WPUhdrEip5htk
VEDj6uC9TgbpNJYOy/eGSf4IalrQVxjAqtunX25duy/2TNj3lTkNSLAm0NFW66KLKLI+oqWLNadK
mZiq6dSFUMyn+zq9WK1lACRObdH76M33Rb3OSRE7tBf/qpdcemgiN+rQt6pe+9NxblVJkNXvaffg
RCJ51zUPtprH6xm8DU78bHZvKtsfd8MgADlZIKdHI8LC3UMHflI8RrvmPcvVUJLYCQMjC8HbjatW
3qp6O43Kc1jgFmXmrQ96hXTNpNIybWRwlrqqV+oCMSb6C1UYjJrpNNTrdv+NXhzfOIOX3A6iN+m1
+kCLr9I/GShJxGl8xI31cqIOcj9SHKbNxk68kmml+vD05kqPZ3Q11sNL9ZtU1fRiVuCvxtD7z2W9
433xtrnQ42a9p/4RosOMke/H1PvfF2+bf/m39P4bD5A5Cpb17Qz07346y9uOt2OIpkXwMpQ2GWo6
/WpWnV43kdzUy6HtAlsPyY3odboY1Nb74ipJyOidde3+W72Ijk58QWhKL7iRoGPVVdPzV4Iq6lBo
uLNWV29r78e5/xU9IgzTnJCs3qr/T//kX+380xHvm385Rf3jn46vrkKvmxNaCpmcMHz7I3Sj4zf3
SM4vi85SBBA7J49ZvspXq6zvnRSpa65XtMjyLd/1EiAjuvf/J3ny/ttfdtEb9LoK/z7AurhY6nWO
Hi/88rvbv/zL7QP45m3jN8B99Bn/daH63PW6TjdSunrfR29unZTm67ZSXep9Hw95nPNIcK/GngGk
8lbfQV3omzcZPY9cWFNxwEnmbY3b+WZE8XlX6UFeMY6P8OrFoVMpPU8N2oQe8unle3Fb2ZYWFOam
semY1Ljwvt1Rv7wdUh9EL+vNt5V62VzyeW+VK7loYWxiaUzbekKomzcguKBDCIJaST83LdEi2abR
3vXIRqOMRK7BdQwP+Inq9mZ3nd5ac7cTS9NB94eXM1it0lTlW3JVpnLQY8lVoQVsKPUktFsFkMUU
dB8OgXtRRt8XXYsbHJ90zU1GcWSqD3/lzzDdLW6Wgg/cBo6NuV8eJebWwLGY9r/QQ7wZxbwLKpkM
uXSMM1KduF7pGwhNjjZ2gCA5Xm2VssfIeja3qHqBcuiX4zhI7zKrYnCrGg0VMFFR3WNOxlxF1wpw
0uDlLOTMS/yoVKElorvWsfZR5X3VUbRRzYPuhV6HOANKgJYDIQO7Q3gMzbSvlP2wjaY2QqbQca0m
/bS2Uu4L3R1L1RPrAmw+5Pzqo0kTzDNW4yxNZdY35s5s1hvymoB+P4blVsc6b4Wdx+RJ5SHUbaNm
3qIYT9Oqo723ql4LU/BpccFSLFM8XrB+CRg0J1xvhCz7rztr8q7+md6iax7iQA4Po2qBVd2L4u+L
eoNelzRWtTGC2dthLDlewmAh2IjBMs8XCLded9+ga7O6VcGMdGumRvP6+eravQAj/scz1+v0IsBP
xiP35VttHd7E6zIcsttsQR1Qb9AvjP6dCpj3PlLRmuEMAq+8MDYsL/dFQ3eRsZ7saUJ0A9tVweD+
3DVOACahf4lZ3H2n3EFMIOn38chUNYAe1J2wiSWrpKADAZkjBkdWzazXTzpQB4hXTkJgaurUw4Mu
YFkqzpsEmj93dAoW0xFdDAB1GUS4aEqZiFbplgdjMTqXextWWOaMcAlA7QEy3yUHxj851XTRMXNL
Bc7vi4OGrNyXdU3vo/fWi3UI3OJ/g7X/P8xqzwvwp/lvgrW/5ckPlNyS334O195+9We41nL/oXQx
BaZCrgN5GZn/P8O1tvsP18SsTfDxuuA3iJSWfG7EZF1ivJbE+oBor5CYHf4UrrX/gcySJBxjSmVD
Flj/k3Ct/YvfjslpQbf2Cf46puParorm/iTL369OVTfDMD+Vk4PsXmWSZ5rdh9Gs52NUx+P7yp3L
8+AmctckHnllGHGQ+xKEQhELwXS9eFeY+beoqB5GUmzkgcunxI934HNSzy6fCzNAGNRdviQoLR4h
io1nODenLqjfT1LOz2W6zM9BL/1/Yx/hQUz/Wxha3W+Tj1MI11T+MsoM7acLc8ulzoJ4GJ8iABXH
CbM1u3e/rSj0wR2KyodKCLRv4O4dyxbw8zB08qGdZuupjt3f+3itrwi6PFd+PT/aVg74c0CmQ9qj
/9hm9d6c2uFFJLG7DVzYSNYMNhkhSLTgZPh9zKbkZM4QQcVgvRNos2wtuxv3YVqP10QCZvXN8kdf
xdO19aW9WfCrNcpmOmuZZ2eY0mvW4ykwi04csTeL9mCVwyut8EtoGHLXhaPzHugkmGrh4iy490qD
2O0ijbf+WisZv2XcRhjb/pt76v9iSaFeFtcXvgzsANdhsgi/3NMEz1Y/WPqnaFXuJUOcHIIRCkXU
i+jdGJkIlqzLxVhdTjYxkmNZp1/6avou3Qgt2aBBBw0dnTyEY4CEmHPqq36A1IPgR5Me27n13pKq
zV6tCMHI0bffB2DeN23ofYryfgTb6E9gxsbyykhhH7kSmacJkHKZmEh7V6irxD7pY1AGZOdhWh7z
GBAAIbnqyZ2t+NjAHNzx0VlgemT+zJAT+s/Y40hvMXFa7Ml65wjuZbC+SITtPywRxEpRTNCb6vgx
s6rnZRwuok4yFVPuGQt5r1ki11Ma98UHu39qvKF5QJ397U/dvUqCjioCtyxpsv2psXm55VT+TzkU
L1VS9srm7Z8/XkE+R/CW+3zDzq8uXwI6FnzqvHsqva9ZtCLBmKH4ZY+QT1slqAM7NLmOcCge59FN
jlkbowZZ7hHau6I9mUKv9Z6G3gWc1Jd7JzZIhu4YwZof/vvzJO30t09RWOhFS4GDH20MhXqtfvoU
PXOOkPWKyifTNrpLmnmPpV94ey+GEjksfvBv/g51iX/+vwB3K+FKRkXYp/z9/8AeL9jNx9XTrjOs
+Nmwfm/6DASYYXt7q7Xcp6XPSFI7a/AWYWxjo2yiteVhYOKTPbjmq3h1liD60DtmcTYnh+ZMfE2h
VOd9YnwgnASYsw1rJRla7rtgEY/VWpCht8VKIDP0H//N/VMn/HNKjbtnm7ZnIyOItya9yd8vSAgn
iSOEeJ481/kCCCi+ilhpnEmrpbmKmm3kZ0hBCG/cd1CBHxxaomu7DvYh9ZvXJLEjxh/xvrf4EZND
cPu19aKLzA1+B10vzk7CJ7hYa7abMOe7zhi2IxCD7xZElAdyQWBqyd8cpgEVirCZLuhFFwxrR1xc
DCBiZtK4h64VSI+JsEHIJhUfg6KKt4AuFiuEXpAOAlRKLodd0WPKtnY0AXV3iGqiUvA0ZuDtOJP2
RMxhos9M4mpna3TDj74z4yejVRbkFtIYzFStBylDa1Mv2QotP++uSKmhYosi9L+x+vX++UXCgI7u
EcAY+ifCVd/fTy+u6Q/gHLwQbjXeMuGMVTu4NELu7acpNmh4RzLsUysnuJTL98yS6e/oi+/stJp+
azK809rM9Z9jIzWxyDbGY2+L8BW9gxlDcPYdOzQMjeX7MCDsnjlnkH7pl7SSy6ZATuI5i5flpckL
uLgemq4jGgK/uVaIMlH96jbSw2UOaf1lXAWgoeUlrUFtrhmqwyRljXNUWm+R8EM5A7WmU7xKwnON
WZ4Mz2wOJdPEU4JZiYErwmlegRi5fpk/wcLfjGH7eczm+hkMWvvBFW9awmcfJRaBj2jU//cvNqmB
f3q1HbD0Dl5HjHWwexIMdH6+xUDVECiEzPvYF2GybazcugLFsa5mN5vNJkqsY7768qQ36GKWYWhs
DbVPa6AgeLj/xgrB2q+Yxd1X/bSLJ1Kr2eiD3482dkW6HcVS727H1ZtDBD7wQVB/cdtz9Q1jWyaS
cK4fOFCDOEsDUdUzKDvi5OqE7nvf/lKfYFyY4SFw3Q+3dbBROYP7ny9BxsMIxWCeuxg08b+6pvve
fxzX+k4Ge4ETo87hr1O8/73ecDsnXb396VAXz2i/WO0IQq+X5rVSv9c7hG4rjdud11t0gQEBt19X
XT7ZrHmK6eOPYCXXPdhp/HVCRK3t4OQBjeqGx9Gi6RuD2cHfpA4PPezQ7cQ49sPorT+A3WWHpX+/
GNMPJKut85A5D1gC/GCmDyttSd71GUThmUR/nM1f6wJFg3QYkQUBtLedZ9CyZv0+xIkg7ZBNBpGC
+mlbfrQThquVtz6Wg7lPWis6IoRypcOvibjniCOUxt6xQ6huMDORKW9hwzQME7LQfrJthD8WBFsN
uvMIs4kEykk/+QOYSvwc1z40NpkA6ixdtA3ClqCLidNDSTM6jBwjkaLamunvjM5Q7EIsdl8kBKgF
AUTb/wh85slPvjfp+DRmIn1MHANDPKCemd++WKP9DIWXRGk6CaBuZb0tfHTqhEqC8BnsykBCUXeq
19gZ6JD88cDn+8XNv8gCbT9vgXKZQBT1nA5EphvX2xRB8rFiGg7IOOVg2IIYaKEjco0tXuPvMc8N
NoFrfcL7z9hI55I54imCqXc1esy38mohmxoMpxbaU1e29oPXIDgHW/FTFiJA2I3AbPP5e+rVb23i
KbvKt1/TqH0MGkziIZ+8rpHLDe7qY0Ni5cis2SjDdwjLhDvkerfkDPblMH4TEIXbvMyOvZUj6wFh
5NlxvyB8iaBtja/aghQsLjsbCXGT0EJ5BMNtXSuEImyEy3PswNr6ZDT+tY19/0KPfc0GA2RinCcI
sbWgXy3ug+DppfO3pMlfC1Eaj7aklawA09ZiPkSWYZ4XgfmQMfOClRIeRdg/FEM1bMrRO89xhJ0v
+I826k8W7jP7Dt3lxluO5BXC8wDNiVa95E6j4AEGPLVhusXRbh1SRjcFTXEm3lsNVNEVoZ4NTN4i
R+oPvN+wF2sluPnmDHvEJvNjkPFEn2CL0u4PMWWXfP7geul3vxoOAMpGEJbpa0nS6EF64oKAEDjv
qZGHhgRMao9fHRE/gJPOMT167ennN2NmPZRN9nYEBp3WiIe7SCmSXbJJfpEnta597n2YQcQ9T7WL
kMSAbEQ3vrSN32IuNL5fzept7NRoAla+v4/a+snw0GytUqR7kg6EsYiCwwj75hKE1n5My3fOWB9N
EOS7rqqR3jfdatcnOUS6mWxyj33ZNl3z76uLT4pd9xNSTtsV7eit0spj1D0+DUWfbdzJfIjAutWt
kR/NxX/ybLM9+ALwqoztTZBhTz0hJ1Gm4is5m2caLEQju+zDMkDyQqFqOZW2c1nCpdx7GY5yEToZ
rsj5SP3oDZoGM58Wgl0hRvMGgT8GG4cIcvt/sXcey40z25Z+IpyAS5gpvackknIThFRVB94m/NPf
D9Dft26fiI7onvcEQVIkRIJEInPvtb7Fah1L1YCF0/KHS3sH0nk1QKwS0ODgo8+85QgmF55yg7a/
jy6NNPVlipNxEQl5L0FpbLQRAKGNnrS3OZX7rNiNzC8Xlps/mGwRJOM+OsuPECHlJ02V6Z44yQ9+
Q/iZ8NbujBiqsEihZZQdppyxFB+Kw/HrBYimgsyGjZmHGPKApSz6+ORYebWG0qQt8A7fdGaoCy7b
2W6y5C51pQR34jp/OlnSpxSSnAqg4iyHvkUCW2c60iEtjrXpKK9KiM5jsPy31ja3LMXwP481gVLj
VoTRuQcusmx9W2WATFaESbFQGgbzKDLGyYRV0RiZ0XOCF6fVB/kkqTFHlbknoC7kCzCqrWUVSArA
/0DYdsnFJDSyryP8NXX8GUNFhYC7lBYk5KR+C/Bb9phBUXWbE4gkhqXZ1JdBPOWlou97T4LFKCy5
7sZeWwXWcz0SCEDCGsN16h6roYD+iiSBjK8BCpBqbE1U03ZZKsf22rWOfkyLJdJ2cQshmfiMh4CX
UHObtPFIwEtvsBuYgdYmPjw9IKray7aa+ATfAK12UoVlxl0QD2R7fMNjHZBxBZ9m8Nx4JcPxppd2
zodDC67nWr9pjS9OsHabNOEjZuBcDpXU6eGV24BZ9Rijri06cqTJhtumwF16VyWQpWqQ2Ufcrezi
tYzVF+Ktx48MAxH9bEzybqThK7Teq7K/BAydRTpuG+xkG9sGQJKbwbJJhUMoboLbAR7KwgyVbY/c
d+Ep/cDy0snWaujuO0NjBm0YN01JAgo4OSOArgQkztX3RiGQBtNzuUqV0iZRzD3WIJm3FCae7Ki/
RdCD6fKc1db702TxHxDEAW7YfifGMV1qWv+u4shZaJOai6DHchEWmACivjmXuF6J+SOWzm8wAYvs
zaqwmFJIZ7QGyWlVrJoCUZK5cZJ0AhhgEKuav/Ap72hkau+oqNo1edcdUQKucoF1QaNgesa8me/G
6FuuJBX0Rw+IAiF8vGx6vcaB+eUAqAOCNyovNeLtHQoRe+vHfnQPa/Xf8z5kN5xx+DVvJdfTjZnC
LOiAAGC2gtk9TvvICM4G0/BtRXG4yoUWXPo6l6ekMfDkupXy0dJQm/dlA66ln+86z7rS56BsknTb
pJhcoyBTYUglX5gTqt96qh2pJ9fviolR39GV/ETZpTsrILVXrtqkn4rlb+ancuiTRRP7lEeCdmD1
1mFRHsfquULVgHJk2luL/0Mmv3SbvhHkKPWqZk59cAIYURqllodXuO9ieibEk3Pr2cH70Khy3at+
cOqaWpz9mEtGYbrD5+gn606zyt+9jSR/aMrmxpTn2LNqXg8e0NG21bRntfHMxfw01XwjLcn8HmjR
LY0wq66D32u0Repy06lV+Eq61uv8TAGIMEoD/a3xnX4d2r15TBXpX6D2KHjzNbdVPjOoN3kJdsvx
w2qhWgZw+Qo3mz4M+s6uLeXZLHUN+QmfxZxCadRMfoMsgg00OsG1sXOCa+mnbFp8Fazgnft8gLSk
fOJyVb4lAqMD50F3LOOyugi7i1a5qldfeQ64btprYQFmRUwtXorYI7gmN9td1oTlSwIc5udwu8x2
nWBKJBChi4dbMUm2s+KjoiTKunRy8eq5wW3em9/4L1AYKBuUqrOuCpEfU353l8pIkV1bjflVJ8Q5
T8dbpekHvSdrXzRvlDjYgmKndbX6Ani2/fnHXUu6eeNAcvfZh5B4gBptKE5SLU08mj1IeTXNf3Xm
mzIm+lfrEYBUtpV6QnZcX3Sqgz9PyJRjZZjJdxTWzUpRKu/UKkpwGXiPS28wsl9wmpKq075TC06Y
aXZAgs3OOLc5kdvzv0iBgPGDUy24BYlTj2fPsuW5a0iELKPB/naAKcxvpWqorta2e3YQS59BSUlo
1ZhZbGkkJ6/dzc9iyieIbw2KS94rBkEhPEF1I+drUF7m92N5NFayIVQvMamgJ1cKY9XhJPxq8YP/
vKEAz2COEO8yFFp0UkvbXWW1cD5tvqz5GdQhKhJn0vLK4CmOwaBH6zof6k/Zy59PLdwuXbLo1K4J
y+lj7drFOmDE+wDf9vOxcXCHSw5Q8OQ7hJik09A0Le4/rDDnqRz7sebrIWhQPsU+mYJw3PT1YCbB
R0Zza/4sHvrthZ6TZhIpIWuDkuzmMEPZJUKoh725nfdTK0JblLYVP4uhornGNXdjWUr03vqAb6bv
KOgpJQRR1T+T7OvjChkxrMPreGN6cJifEft1swg5JZ7HsjDJ/lT7TQSlptHt/DXHxyz6sf8KiSDB
xjiER6BB+gvUTOAGcf/FyaNSD7C8qwNo+qwGlDTs6QWqnpyoS4pHohveTrVY2HgB5BBNHucX6iKC
O0Vd48D1PFnD/5Uby8ke8x+L3AkooBbWpRMOSDisgj97RXf90nVqc48qaRHBTZoooM7hy+qY3Fj+
V43LYgOKMN+DRS8fOgW++e2rFoF6lLXAbftef9WSUCzmt9m2/Wct7PjWSMMgq9eJ1vPjGcRvyKrd
RzHkzE6w5e66Xuivo23u5rcIoAoynD9op6gOjScBiPhnjxYgtcmG5zyHkaUf24Gxet4lJLaVnjTB
u9PX2jYjIWyrulb8robmat4l9uwpyyRk0a5W3nM9AJJyLRZpiiPdpyLTSMmUpfaEZsg4jXWnLOfP
3hfBnjLP+JpngvWZ1sOs6d3xo1CZ2jfD+ESbo1lYJuTNHpz3IYzM9NbgX/15V7hc8a7l3VXF6nd2
FPoC8x9kMF5i384e7WgV+9qNWeP2TfyFg3J+t80IM6WUodgHSY5kTveoEev5y8/RkdDVacFLxnLP
vogA4su810prHh2F0RuKCqIxQVT+fIGJctS50H86ftlsDCPjJ9Pn1sMh4HD+kIqmaNjq+YmRH+hd
558dFifzU4+2qh786iHtv/hajGHP1CsIhNo76cn2Ii8SkAkN/I0qsj5xueCMNERJaovP1CQzgHCa
uX0uYou0Ehs6Ytm2XFWbFxe39D6yoTp0MGkxuWrbTiVZuXKbZMnMz7lG9fgy1JV5ziGkqk7hkrrW
tFxivpEvKhAasRgYHd1vYLbmCj/gsKL98mk75FVILYQt2Tn5I3eI6YvAgKReaRz61oEHyBoQXz/K
djJjl77Z4JsKabyNentTEvOTMsYuiRzx2ugB+EG9bXeNVesbwojhyYgClgD+5cNYx+XRK+3iZ+Nj
nEOR58bTl5YdcPXS9Z5v9pM6rQGDUBG1tHUm4d3fx//zefOT540xqfh+7jZmsPWz8Ti/bN7B/PjY
VvyP+ebfBxnG3WVuC+KPZnODxKx/iFvUMCZm0FYhsXh05EAwUJjD41GSNcG5rxnRdguysbRlgCBn
mzv1axi8Q00hFcpOSZGyUDGBkEHFNG3iRmWuW7TM+TNwBxrAuENXhxxcVVkJ8oLI4azg3Fpfdq0O
e8XVJvlDUi9GlCTrtkkaLgJ9tHbaq22C3pmf0E7O3hhiCApwNvOt+KhSnNoZvX6LIcYKiaa3Vv/k
isIH+ms9GMBTjMINFnRj9A2YS3AP6bAOy/Y9BNl+tMF56R5iERvKkSnKa2pDlfcruZ0PD2eZBJsL
8SyPUb4hjYF/X7aP+cNRHS0OAHdStZhKjvl4qM1v9MdA11mpbDI7fGgtYgop67saBf1STpo5BM8c
K01Vx2UEIj/UcmUzPzb/lYhlEJYGZnzCjVdAPNBCwI3KCPBjooDIxljObyzAFbwijASjdTKhKsZI
IQjIQgxd3SUYRVS8ylOQeiS46e3FhDSVNiwtbddAx4T20nGQbBcDcu7c58ILAbr9iZ30YsRiVK/w
nk2/j5+9C0TUh/l+ChpkGfXkFAZmvdc8cpZpGe5GrcnWPkMVLRY1YbHcNCtLUHKIwgTMwGiTzE0y
87Ktq+fGzJqtGtBIRRrfb3VpnyxlwJ8bxra3oAtNQ6Rwlc1Yda+hGW7svHR2ue+6BxaLZo0gk0DZ
yY+JuLxqSRHv29BaCqcn32Xq6BWTU06L9GGtBYYFZsX71Un5O7K9dOk0VUx7zbiYbVZsq9y6JiM4
FL3vXmf/wWxKkJNuZb5VzQoVQqSyTR1AiiQ3atxllfE6hq519hJIDY39pJCgcxz1hPlhVDj7hpee
ZUf6RyJdc1OVCut0+JjryA4xlMLQ3Hp2tZON1YFP062l3sbDVmjYhYxWay5KOEZ7zISvtWjGYx0Z
yTEjq+9lHEpkfINvnYVFll5kKMlyaAKxpAlpb7zcMw5toxkHj9AAd8D5EfYeS2MuDUsX78gWNUF2
dQiHykoKxLDXcpUwxYU63H2z857i3I0wRCSgOTCRvyiYcMkLNRBrNtRsY+IfDhpR19RXynGRdJq2
KyZ0TmC6Z4gk9mZWJf/gepoyJwDXiI8/Gu9J9439/smVCK+HXD/NDo7Z0fF3EytatuxyvM2qrfzy
4/BBil+9ZALmHZS8eSWlHBZdT7OBgsiswJ6V+nb7KYhL2gy9/hRMEjZbCpbg5H8HBguddcnMn/Oa
/F+SHDlAulZtUeKc0skM/HeTW2gERkwvC+xh3x6BXkT9DDhfSYOeP8SsW+9bAnIbNEY/+JOZgULJ
CXOm/ermbb+XkwqurqNrmCVik+j4d+aHZifPfKvF5UxXQbzOTomk77G5zM6J2c2jE/a7Vu3+3Y/p
iVOteUq1UOVM9ItVQsQh5WA5Uc7n37m9NCa1mDJJwSZQTO2P6r5z4uEo0v4UAwxcqDoJXzNkBQhW
c5g3810VDQui0klDpVI+t/Iu38+GpHmTIllceajIuIQEHhIuNsjlknUK7n6hqYFBFFd+yVv1PkNt
Ao+3MG8cIEw/t7z/vsXOjEVGyu8qjmqcxpNhdr5lTsr9v3fnW2phw6u1it1fZosxCSNjmEy+qUdw
99BvzZu0ZBybjSV/H3NiCOj4wMzlrML3DLT8AagINJtYxxgOHo1PviAs22HhTO6UWbEfGGO+FGnZ
gzWxYa5CEbO1oiDSzEkKWEB+uqLrRmmUOMKjjjO5QCJW6ODu81ezHSnUmOqzV0OqSaesxU6DL0Cm
brv2px6sUsMdwG9Jo5Qr4ryxmK0D7w3Tn0PSTD5tbSZpTk6a+ePEFeeQx3JdVXaZQV5WH8Zf6uRk
EK2/Kget283miHnYwspI4YOaIY0Q74nyWoNw0kjWxAP1B2Ga/QGhi0c3oMuwWGBMJkXb38cQrH6c
IqnNqaZnavrPfbcB8ek1yZ5YpWylUlVbmqmBCd1Folpl68TwuBZP+KG60aEeJjbZNIRl32fHx19X
wnzrPx7zLX6ILnm/NTbZRVPDtSxQG5zJFIrW+NpgfuVxdqJX6AJXBe2iBEDFRxSoW5uAUrq7LMb0
3LzHWVxu1D5yrr2lbxqWuV/0YMAdu6agME3gaUre1L4jcL6kJ31uECtSAvZ53PB3c8yTgYrnQHbN
JoS09+mm+jmkxXpPRdUfndYAh3ALhNu/ZHJ0Lxkag9xQWhxyNASNgN6SSUscqLgmt0PoD9euLCCH
1+DNPcciZQHJTrmWekebJmkB1iEjgDCTb9PYCp7SLk6heehpvQpSn5JyNC1XbHFB8dI961R412BQ
VVzpXfeMO5hlFPxL/PjDRh+V7CmtMqrElvHkOSBTdZfWTRUCBKD48g4tHOpCOY3WUa8vIS3GBNUB
z9AGI99YOkHdduGPdGcgxbWp796TNvpdqV5xnu9Ri2cKmDOoJNgBl9IV5lufkWun2NpnYyrW2jA1
1Bd6Gr6BDV7Pj9tFSxcBcvHeMuLqtUqrbZ5H4sXt8o8KQM3KjQ1qSmVt7fQBAYw+insBbubNpM+/
LwDZQfnK5FuuEbnW+xlNoemvDm7ZUhDtZuAl3MjUJ2sj0QJlr+bMcW2op2/wPQ9M593v0tT4PlBe
g2eOt6paB5RyNmHaEcdwia1IXueNIYsQ8UQP/b2E/YsCXPuqlQrxQCruADAbFgZMPKRIhqeGdjtr
j9eyVpxXYyCtJCMEgEZKs1byQH/yp1tDOELkC/t8V5kZpw6uvYOMzeE5SCplqQuYmQP58iu0XzWH
WsK7TKJh0UYqMreCzGN7ZARKmqHaq4HQdzJL/qRVo6I6LYpXtyVXNw0lxTZzVFYkl/hrxzHbDfMG
Ahy5Vn63/s0lFdgvDPW1d8KD7GOCpS2/vNtEzu2zviWiTtyoJ6sXKRXBmwAaE2nkQZDAQba129dn
iBNTLmniLQjv4FLo1vK5KoG69Vru/THiOl3DHrCZQcpm31Vl8VrR4MDVm1zNMUL0BZzPcjPwhrp+
DwOjvhPamRBBhY+6jvZV38hrxqew7CHd1UadneYzPbQc4xgC4xxodQ28hm+NS132kmRJc0a+Dt2c
e5qNaE9RSzo3NiBVg4jSORhvpxC9+2b3ybYa8/S7c6mzeW3kX9qk/yj7YjjRFqX2jb1+bztCfxbT
BizsSUTU0VPVJAiBVd9SL/mRuVFSP6F9WjZIK2DYVN2KgMzh2RBjsW8Dum0e2fRejliErLr0qHvM
Pb02M951ipWLAJm8XWjBtwMIWwH/S1+7+UB3Za16KRHsu35+d13KFoBBP/2plECpsjjRIGqWdkpo
RRELldbHMPxyEmvtjMH44botiqgkSFe+YzSrQs3lRjGH+lanpOSAtwp/9X64cgrb+qNEZR9vlBa+
OtMz55AXNZB8ClwIIP1N6gTpAbDKzCBmXdS/aa5vPEqhhjQQmb3rgao/hFf+c3f+Kx1OmqTE/C1y
6ZU3q2dw7gfz3TTkuC3hYW+AAJnvZdW/t5WG4k7v/i2FOl5afG9+6yZXEvmQv0UuE1yTCrAgH+BK
1TJdWpVPr5T8wGgq76rWLzelfY/EI7ibHo0AuiTDzsef9TJq6tSGyYmmNsbunm2F8M1/q3X7ndNM
fsuyoV0h3kmviT/hS1yyyVNCqrYpuQ80G6oN2sToYYb9hxpjpuP8cL5IenwuHb38Q6YlrRkPltCY
7yj+kBZCGNtCFIJhOU8okYqYTOHBl4fBtqy7N3b+OmJGsFXsEa66rZC/0bfdFUfmRxL6494cZX02
R3ulQWl6LRjZ08h8tJbV3VLO+cww62uo+BkgH0fb8yMCoSOcfF2pcQoBuKkPg2mJY9HWt7xM7hpR
o+vIGD8TPQ9IJNBZ18AoepGK1FYVjJCdPxbtG695jyuT+KKSxMiKVvGyBC+zHGrqWwPp7JyjpvM2
5j04ebmEKmS9G3T402zfl+TRGKUkazpQN6XpNRRMg51BKWlHmSlcCqszd1mbqdP1dYrFiwUhv9Rl
DC+RV7rCLBhbcihMwAbrHLf1rRpMF35vZh2SGEy7KYBdwX/w91SPxq2RiHMUq8FH4APFJjT0O9DI
UGyjnrWrPyirgRH5l+x/kx1LDxY4+tlQCBTPqla7yKh57RXdWzh5Kk5RIz+rSqtuiV8AW5rqm5ZT
iS/nA6qdv5UQ8O+dpidHt041YLlKhptZJsx8M+MxjvZXRLq8QmzswrIs0jc8HTu9DvdGRlG0lSOF
OScv630rDEDzlcvqrHZIm1TAfoG6Hk5IZagrhLm9pfuVn83GJd7IVM4RIu01/eLipaiMagP6TV/+
8w3WerKCj3S3UtmvHDcmIiyMNqiRQQN2QbJ38umoqMatjENjr8ZJQSY3fVxNIzalFf1LMPbKRSOQ
fL4nLNKbuKZIkpRrJCBjFixobq2EHRq/4zH/XQnN3KR8+2tfYkROpP3VIYkdFzFTsSUUofJS1zQy
ynJ8yB7hheaE5ofbPrIgGk5W5wwIKqVyNlQzJYRdTlIi9Qj76H9tKtI0leYPnYynLvIQFioGU4tw
7I8kAJ+SQIseoTLYyKLAaQdZ5F6B5bpXzsoB8bcG0w7N1p9e4NuLAnPc0aaKbkRIVJV0DhXkh4Ov
Kjdp+PwKpaRCaunjJc/icyZAJ0h4ScvRq4MNtpRxowcljNppMS3Tpj56ib7vOuneEo0w9TYMnxoQ
Z2DryXRiiCJS+ZJ0LKuK6ROif1IAfDHBwnkUdY8UZuWZ4oVzkbWdsq5oxWsVBNvUHcZF72nFnqZx
sRpLKP9hxmtrUboHdveI1e4tZHn4qvfEkHkdnCuvLD6mzuNXGJQZOP/OWg9yYIaW0kDg0yRns4BG
WlNfOCgdwfdEbv6iwnutk1B/JqLG2cSUx1aFhJmMActfiA4kY23JQ2aW8tVSqaX7abAEAqldYDKS
VRKW/XM8iG+1SK1pCd89I7FPj8QrE1Y9c5dzua1bCryx4T18MIxctJPglzfNKJV+ZyGAXeekGufO
s2GUNrmzbfvtcGEBoBesqRclyIM0QsnaqX/vKStVH5uH4kVrcF4hlzpQ2WLMyW9g/NsEWRydhDRu
pk2XxQqV8aorRLp1iLB3vtt7m4TeBy18+ZV2NIGaKv03NRq6appNsCOm9oNuhS+lQ7hrYkb5TjjY
vjODAXu0RHI0pzAf2GP2XlGTfCcdjWCNDmMxkM1uXIR6b+zMwFwVUDTeRKZSYqFen9Ux13yrdr9V
LhYqzsJbYUfXypbqymwt9xrqRr0t7KA9DnnoQ3b0ra2W00/VG3pZVvuR5qVP8zZNjr2tbaVbcw0L
/Xfh2x1v2EP1Tey2VshzGMHTUHGcLAi+z550UNNEthB562kshfjYvCnj4ddjjb7Bfy6iWFvz1pM1
BSztBRCY+sIJXGF5qumMmiYLP7M6zVJxYGPVWgllTIpeC4XZDTxwY2q75fqBLKrRq6NR1tWR4N2H
yKth7yPA3zLj8BaaqxOTkU1JlPzlWDl9dWStfFEsNFle3T36KjmXcWPsmZtkq8zUKfNFgXFkmsXV
TX4ENTi/vhHlUY2VcxLo8cWJE4LiYUaeqXwRjpCowSlOkq2Z1vKoEVWgqany5PmjBtmWUxkUqvVW
xfQos+aVrPgwCdNL7RjJRSlHbQ+v8Gl+KI015LSpvtSLZLgUenzH3mjfW1ILkJe6b21YWc9h+db2
W7iDxUtElvFCsUp92/a5XBdmvHZy6iQ2yWtBzglTjBjGqmzrK0x1UrHVaVd8GhYd3ygXn8Jqypdo
gjzKNLW+p7QSI/f9WzzYOpkk2Gj88DNqWsjKwsom+Gz/VqNLirKerJXUTPaKYspbLPjB0v7YOXD4
YXUIn9JfapSoXbIbR4OiFP6jI0qYhT9818203DU+e5/cnqj3vB0k6f4QhvFpaJnn5JVjL5nLVF81
suJWJf5NxLYOUbkfMX5wJKKh6d8wnoyLCD0FDSa7f2POgpCS5JTGNDDV+/Eza4hsRWCzu7Zyq9oJ
ChhT7cA/z5uwh70sMq1duX4NS6e27/MmprQ76NWiC9P+rYOauCkjP9qGAE59nyQVtVPUgxc0yVl6
XI7NDAWMRljgLqkD9RB7HXlmKXF7VKqeasN7V4QCmU22TK0YCqKG5avTOMkl+9QHhruoIZvLtIg4
lBPekRqYgmyrTbaYqQHS0va51yONGpeVQFsqC65S2sUrFPDkislaPUxJc4hzAhvsp8hHul2zoHFj
ZTiEjeyWDmCGo67ELFR8FQ15Zxr7GtFeVmvaeZAsM/PELpmbKNEWka3gN8m6re+S58Yy6zOgp5Nv
9eReNDkis5SGs4KoxbbRZtdFCU2BwrcrOdHi1jiYwLLPtkOPCt+q++LIeukm/qc0bPe1ye3ikDAd
QSOae69jL7LNK4v8DHdLkl0RmKxbW+9OwRZHsH/1gzJ+iCBctZranUt96gamUiOYy7T3hMa8a1Wg
XdGxHDHclXujsTKiMrRD1pcRDZnSX4dDX1CsiMLvfjjU0bZzdO9edkN310einqv4N32s+gx+Sj6z
Ak7p75Fq1XsK5YU0zzH7ROXZ7mi8qrIz0GY1tCDU2oYKbYe7OB+qBYNHsqtrt2KCwcaSMcUxoz/i
DEpPIoYGzBxIg+zeUz7LBe3hThX3oK6vfmamX67uGIi/EKRU/q0wxmTZNnH+kRU+DRxb/DFos1uZ
WzARFczihbstMyc6pCLXzpSp1DMWTvWMHA9QXqWc6qxcZ5SlPuwWYW1ZB+Ex9723mprwjg4e5T6W
79Scn8IKG1NppHev1ptng9xQkWZ06ZmHpmqlfjXEcy4ShZ5xo6mI2+ia7gWmVOTYqfGqOgZUv0Gh
/B/TvNYt5AIQfJNbl2qU6h35OxyTh10g08FcOrJ8lcWGpjYZbx2dZN07Sa11bqldnIM4XVO0wnBN
BmE04C8OBSPdgqIHszfVNzY6VZ1r3xK6Imv5ZsncvM4PkfDlrElKKXaiyKkZctVMQtVbc1mNl3XR
UdVEZnkadPHLpKS1zBvlLS3HHlt52T2FJjHpmij8jYsFkM5Ng4iIbnIkHHT/vZq8suK7YFUiDwm4
wI5+jL2oEV7u6L4bVD586xTp5dVGAlE7RFx02LVeauoZOBqVh93ASJLEnGBNI51IMQhna8IjAufi
xRKcTJmSr3TFFJS2EpoiA8XJjKLqzpliYfA26islyR/6mHDyjUQn4kxZm5joEbxoDysMy53vQzvt
tBwtA9h0umKIEavQW+fe6J+JjvlnQ96LewDqnaaMU8VXSsLpcd4oBHQAci9aSi5uskKOTRkhL2+I
/bVnu8njnRriFi78hGD4inUoAggCYcbeMZ+HiN5BVT9H02aKuFFMFEg2aaQ1XdUVhLGgU+MPDUoQ
cVFau7YmZEvNbIVStxGh4iR5s7Yaf2GkUbajF62tE6cUy6ov9GsI2H6J26/etQplw6FTui2wLGKS
qKRi4Mkc0qbhU2lheWss24HKOjhH1w+ilYzGkrDCnCj7WOanUMnGm4zu5jTu+lrobNu0q+5IQ1jI
S5jDSi1/pxYyE3MIxlXR9cWBnN+IFZZMd6jUp1hvVDDZl/RS/zzAUUYMOjTXLuTE9NSH0Tb12YuR
XsWlruwVzX8h8d6+9Hlj3Yea8z3EKPazrm5BlCzpSFOjRgNXV59u2Y4fvcUaVHhGtJnvIhA5WfmI
RpwSwULNswAUmWZeC2MokZeO5jITxTuhG8ZT1/3uOq15GqWPlSFHDdRQgj2zltzEMDaxUw2k7iRu
uXJQlwgz8N4is283caeqez1snjjR6OTrarvyGvSiVuXZW236qQZ5AcwJPn3XlkD026mBPdH++3nT
X6j6gKqhtZpDL7WJ4/OagxXr6oVAnXoFuvg11TsQxSQQflgwztPRsJ5JinIQSUEwMKzfpu+jK26i
/qWzyxOzA3dHzAZy2zyOHrQD3Us4yckdozqIirm1A+3xJfNclNrU9GIjOKSUoyq4q7YXoYU0imab
DT09fj37HZY+S55QXgjmNBf8Ltq9RkHlYIPJNUzdfUE3HS21ODB3813EXu3Kxpr7NDraqS8yNGtt
ZSxjh3PFUNQzauZ8TaXUWmKgV8+52hIT1+mM6BGXRM3w5a1vPkjpCV90W8obZImt4usfmaWqj9Di
UPhK9s+t+TGlhYg9psbWrhXkk5iubkbinimjtB/jQImrGFqETVo1oZ3Jd/FzhgwNDRJm1IYWoj98
Uhi9GV3V38KSCLo2iTEAWAiWmy6trkLqIYFto0H6cCsepoNYc5jA33wkGmNhlH81tfMg4vI55FTf
BmKkvqjWT82I/YQ2C8v22gNEKILe+Z5csnpko9AOSJBLVDRPKvCNPdU4725KtNM6Iax2kPQXQ8Vs
FoRycg7kyR6TLexhVfMO8SYxzO4UJW22curG+6pFhDa+sN7bSBBNVFu/O5vKr9YkKF90BFhloiov
lJAJXRyz+APh4ptPc/KYjeyiYzW+t2rkCbmr+M+Mn8jtyZlBgBoKapS0CpKyD27zRhly7Dejax/0
Li1Xo+2OK8LkwtO8CRsaHGVgfM0V3ACdpQadaVU0zR+dIXJf+k81o9cuVvpmF1F/pZ/eOmvPos1s
KMo6p9OGvFrDBRmWIAFHLd2ixMJt5aU0ddu6pZ8VKyzwTArbtV1v1Uih/mQqYmvR+9oJyr7LuKKN
B3SMJRCdyZ3zjQnKfa4pcC1l4oD4zW25ZkgjMUNQUNaMo/CogpVmp///LPv/qyx7QxhTuPv/Gbnw
ivMm/A/gwj8v+oe4YIt/6RQuCbwS5hQ9r+n/TVxwjH9Z2DgxctLMcsis/0tcMNx/mULQu1HJabT0
iYL7PwC57A2to81lTNd1y/p/Iy5M/+V/2nlNxknbwLRrGbwNlT74/+55dForzwlHYGU4ls+Wy6/U
jDO0iSeS/yQZURRN3Cbb4mHA/GgfOdNjs9W2VipM2J1TX3SIuuaAJ8bY6zY9ckI5kZdAIUD2kxdV
vKObg2CePnlaKA9ZhdhElQcCGmL0UM24aJVIAOyX5NuvEphonta/2HCF/Ia0R1XesN4j0yIZLSMZ
3s7PiWZhXwou8b9Rnb8V3n8RdSbNjSrrFv1FRNA3UwnUy5Jc7soTwj5VRdK3CSS//i18B2/iuOfW
aSwESeb+9l57/oi9Rt9ZgUEbXUJrcn9P3zqnNyDmn5d01EjdN59Zn3z/wFtKEWyTxn0GTHrxe+Rk
37WiUTuqf6xRIaO5eJf0a5OKx6gNhCiVj7npnSY9qbeJCbgyrtzbDzSbfad18Kl4yJ0YyKmNA3Zj
2P5xscmfufAYNpyzVYhsFmpV9Y/TrYPy7N5anH2kcowpxM7+lc3Mn8Y8e+70tyL4YznBi5XyBkiD
19mwAij0mCp+uNd8fc9pPHZ0/uH7+IEYlc6m1Kjp0x2QfB3ZnaiWCX5xZnfbWhCvM/VK6eTABGQh
PbbDGT+6DWui6yr7I6OVdrdk6X5YqJ7IU35/07LcqOO2f6Wb6KN2QmkX1Vl5/b8Z+/GlSd1z0fKx
Sym1k0mznVPb6d2klmzrxFV9HteGVkOMya4KkgPO1RS1YPiDxif3YoZFL9I4eKMCxXhjBT02ioRy
q4sNy7BxUBMSWr7gPrBz1zj42QORi1xaAE/RF/aN0SeVsGnRYwRhN50H9x8aEWGRfrNYCxJX9doA
pjsFCR5qVxC9YYU9jymRvW0LM78jpM5YTuOf4yxdB6Et1MhNw4w35gAbr36FsjffnLQSO3fFLKW8
bI8z5miPr98HCxWWfrJXWfHXmYKXSeDVTOo/i4+aD3xzx0FjivQYhmKH/amAtEUjoKoca1/51aX7
4e4bVb1byVKk7DcpJ4Kw5GNtkIOea8OgjTMZ6XkB4xpa2N/1ya6PsxJnxhzgwLrCoK0DqW7J+l1t
qO95NtFdVg5WIEcO5WO+99ZHzZntKazMbNhYKzrv50dXzjJcsPhuftA/WqIY5ayYJTpHMDasP2zJ
GGnKnEPwY7ksfqdd8Nvm3Bp3Du1l9C2Vw385RYwJlk9GA2jvvU3rYtnN/abq9CUyneLf/6PasRxe
WF5SLnT9p/DK924NIdNPC36bvEfrZOzvqNCbYgflAm/Cz49YK45ALWjXXiGh/Yq1yleNRmznMq5D
T8PqmglYCfnoz/DUvNBaL4wGpTYru1e8Ngd86AVqEWbGbHSXU1xlyDNlUkcoPwCU0qQnysm0V7p0
zWXuE+Ui7o4Rz1PbOtqe7opQa7K713ZE7vAUb7F0shbSw/JDNaKhPaIQbjli5tgNiT4clStvIgva
bWPaJlyQWRDaK/WomLqo67X6QJ6227q93VIjg4EqYyO760b91rZMUVMsFVtPEvj6+T1T4mE4WXYj
VTrbiiDjxgI6G7ezFolJfPmil7uev8nwsKJ2ZQ6BC5zc8ucH+m/mqGb4fTb+9JxPw7Bl/GkBydlW
K9AThs9Tg0K7R7jDd5JR5VHgsJw9dfihdrUargR62VGUwSMGExVxazTU06qvqbRwvCvjnkxU2EqW
gm1H2gVNMN01tUfTmzQBvxntwzFYaTSPb6nF4njyLFilppmp58L3L65cROiU2rIfjlREdncbwePJ
X5O/hbecDU5a3Lw75FjvtDTJSyfmal/gNkPUnjxWBD/MJmWcWtveuwK3renkf0zFgNJ1E7S7SdXn
oS9Sjv/6TtC/9PMimjv72if0aKmkmi7znP+qmH/u4z5/ICl2TzP60nMXBPuEEfib4nB7K9v+989f
JYJKGagXFGkM71NFc5Np9PbT4qTdti20ZF8buXGQNLZtqzjhqscgh5IA/6+ZG/bFaM2/w8jxpKu7
R+5fJttOt+Pq3llDA8T/GqQlS99wsfswbgPrnUuLGqiGswJ8dKlAVMxmPlwl7c+7ajEl9oyG2DWk
MKSg2EjI1E4ZJwraRn1lNns/G23y1gN33RwnSNfatNMLLT70Fu2/S81siRu/3+FPZDLMoOKeiG87
Xpxz3RIwV9QkRmKW947IKUt+m3LbKbXBJFRc6zn5buLM39pzPh3ATByddc5pBjQouSK9dLTV7z26
kfDy5u/9ynOh9cTZkaC2LsBpx41ckOuxc6ShVms23RR0WfTJgO24z95cyH2bzOKwMTkcIXmnEwEU
zPWDVry7KFKXBPTRpkkZuubN5MJG800OngPTrTEYfjkq5JTc3+KquYmAs6X0dHfP4IC+cIGnO4b2
RkXbn8riLTIEfKdt7p+n1JZHowxe0snQDxM7MtYJWZ85/DmHQhsp96mS4qrz70I65g+4hFXkccJk
UZoERt67SM17tsjxV2VV7r7uk2ep4UVMs0GtHpHq2nT8VapnzwWiyY7ejpcksRDKrbd4yOPP3jEp
0Rvz5toZ23HMOOpaC+ARG/LbjOBtzBjHfS8dvjq1L5CbT2LpkSdxI+8hwjPMKQu5n1Ub7/QuOw+j
raWsQy7Haas/ep52zzCbPuyJWrJhbLtzfw4seOVy7BNCJFZ/qBXf6iI7tnEGZ29/eKl9WUZjScen
r4ovTQbPluaWWIqgbDtje0l8T12q5iIDwyLOG5sn6c1XbxjdUHQ4gevEvi34zHdpfpOzxSDcHpOo
G/mbFpd9WRNPv+XiJ3djqPYVNOAIxsMWpZN6sdHi/NtTBuBe2J0Oz5pqlp1raB9jWpaE86rytUzs
a8HAOskziqAnDEC8hZaz3v0SCy4kYU7Fk71mzlRpYGPs7V+OjmMwLTvtJnQlrhqJjI3/qaokubOJ
0Ld5Hs+HNWLAHFxtGlonN43mydfRTksMMll9MvpUvko/d1gzaZlZFrzBNk+bYmD+WsI0kEZ3SCa+
ntrelKLzrsYq8TIE5uswPZtyciuDxu4sv4YVHsMUDgKBXpvvqbnH7OIys1+qLd4fyoqHlO4jk5ev
HMpLlpFqq0bt1PRmQ8lNsOzkkvPeZ4K9sTTR7BubtM5E/c0hngNm9DqEEGfA7cL9taU6Q9H4lnx1
HEZu5EAq+hkbB0o2NoDemqr9VKf1saCV+jGP3S3I1GNcgu5lEeYctZ4lr7lHrkvsMpLx5yZTcKab
zHvtLPOTpQ+3Wjq8pvMAMlwRERDccezCymiZ8VWXNLJdvLb8L1sZ65bWYHDMpPOR75w8+TTzarwJ
tojMhvV1lMsIw+ANeVPSeg5U4EQs+B72s55BsENjvJM2w559c7fXerxRCuLDKaHxGTvr0B0o68zD
JafA2eyV8asGxhPmVR8/5np4H3okKp2m8FfdZPBbjrb4g2GBR69B/Vg8d0ONmzZ73WuVIbaUAK/X
N2fzmxJGysMQAojZFea28lwzjMf622PyfEoUNdwusahd1bevVc6EBU9UNqG71CUedhZ6G+BzGKum
CDHEI8r4rsfbo2GkDqvxlLnyTZQ5ZcJQ30MH/ZpyQX3vstqxTHUmymK/XFP5l5AlSfiJhs+WAIg1
5GyIR4Tn9boSmgx2VckmOe7eCR13F0Q1jnKS3O2oudbRKdGTNegeZiYAVwQAlpKyKjjgef4H4Ylz
WrjOQylynZbf4VajGzGjznWfe4S98ct/8W+Jz1UL1APopPM1Bol5s8TY09KHA4tzH26SmUQUZ8N2
SZ6T1QiAOlMd6lL0fAi9x9HBdc8SO2oGT92LClySVvUU/y0YvvTGgnqOW3jvFMO/2arFrzyf7a3l
Te84YaawJAVw1GMrtHn8j8tiXdHHh13ZMkHrnWCzTGl8H4v4QVCA6l+p/asaK6Pj+Cib+phk9D/C
1yaNMNQLPRbDuE0HDbdhgtvHRzX/sUSYmiJsx4CExf7mZTFDEh9HUVVz54sUwajniqa6q13Zfd3A
1XMyAm8EdK8/8pJoT4zD0iO0pm8BSmHXZy5olYBkjEyA6KUjdjtNlvV1LhjbyuEFbER+YPtLERpJ
EE7ByaVpCW8NJn1ODb3HuMQCQK38m73W+ufEnty3cCnCAPfljeWG/UZj9M9dhndTCUF7JVY/xoPV
QPdaFp8qy4Mejzt7q7HDCN04eZpLXz7Fv5EgJjwxfUdazTXxiUHaqcp1Hqi8R9oz3aAB3sPWllZM
YGCi2PD2LyY16qtBjjeTGfWyFpRgex/KwiUCduu1ivWbhl+zKknRi4WgXdnmezyTGxHwrWVNxmdz
ZtDGE+MpvGb4Wjti7lVLlCgZedTpyT4xZr0EMEbPMl+4yJh7tSyXD83jxswMvCdkWa1m+LtIuz2P
Zs5vX7lfHUOQ7WSPbehVgw7/j3TI5E/B0QCxkmRxtSHQKR9ot78NYapt0eCaI5EAT6u2i72WJVM0
qlEcKHJlkJzRexgT7/WblS4AX2TTqvJOp4cfNXVt7qBZDqdm8f8baDg7O0qjcrcyCf4buFTafFpR
DTe7GqLJW4JHUGTgier8RSufqQQWv1yC5VdcvHddS5ZTM9bPWkeO4X8T806zr9Q2X8qMjZ6wvUst
MGYIhyB8Ne6Csk33arBtxix/9HpQZ5OE7cbLWr5LeLUAVCbZg9cZ+SMsXpF0i+RYakV69E0oYa1J
812iuTvVW4i2PgknL6ijeWk+h7LnDjLuVeeJ30i9qDjtbhbmUz/GM9epq57MmrI3S0eADphpEibl
jevFhsuKWc6HQenYexP5YMbN3Ttl+iHxKSO03Z4xEZ6DhtrTDZ6K80jA7pylVmjUBhtEv39R5DuA
OJJrcKlxDfVR0K6hO2lU5WWzG6zi0ENjyVCLcWbzZ6VRKZrKphATizyK3iZ8VHZHw3ZfE0HyKle1
tnEB8BMoo4HUpXgMjBMeraotAGYFVk3ZkucyQxBvblewrSl4nkyuN5AXyG7fuJDmx7yQDF7G8Y8x
jy+0ZNh70IEHC08ZZmj7b6sHf/Fsm/vSKP9z3LyDiTDsgiZzsb/IatOCRtm0nWu+WTaN7kHwioH9
CzqGf1iChc2rwdzRl0gqbnslWNFx0u4rRq1VA0tbNl/C6H9xJT7svpyOdXpmKygeFRSMntcPUkLx
IWA+mpV6x17iHHnmrFC1dvlcWv4xqBOih152ga7yZqB9RIYd8DoQNXMBbYAUgGaMo7CKyIv7j1oT
mz4wjwnUhP/4QfE5lYxt4/0SmUV/+rjTJsH+l1pjwhlTv+3MtQA5T25p2puhPap0lyA7kR7c5zZX
VE3IhrHb/XY99HmRI3sLShQTL1ueKy39Bf0Iignk0738UH02cnyXu6kz6A5ZXVUIbVSZV81O1whS
pjRrYdnZJEPD6jakS0S56UGYa3OgaRBFoGiauA6d5HxNgAFcBL/R+GqXso7uJp6QcSIv5801r0IM
Qge5rOT8ST3JybfvLP3OvSjdcQMWSoWubB5xX/tnV/ckyW+fHZkzhy3MkN8mUyQOVMVnqQCg44nd
wGUQ1zKwUnbqPTGCuaWok0EC1xYlpl/94IaO/uLzsUJXxH9IiuEq6txya3cKJVUrs+OYDY/KX6x7
r1k4AXytDGcL2UMPeuIcGR8aD5keUhjUs60xBOPz8r8WegoIytU2+rdMOPUbSRsads+kAYH1bidy
2k9FN/D2tybeRalzhcXbRJ6SXsS0+qtYyLdi6MKDPu8VL3TpsCr7mPsJdtRPZh5f0kKHG+JXJN1k
+QLZhOffTXcS/E9KwHjTDgR7UxmNgfNCe0gclqc1rOi24nlcf9Cs+Im5onyQOjgunPqYc+6KaR62
PqbpjcTIEWhMgE59lo/buY3VJhH5dlTJ1ewBD6l8wvhH4IGZB0binIfUDcpt15HmrTXusLpJv3GC
b52gfSf98dRK9TWn5meXyD3gVrg/XXXrptVSvrBiwRclpmK9cpVJC0wSU2/ze47tQz6jdZfpY+E9
yD6HcDxjy6uzkJKy8m8HtlLJXtEJ7o0vXlxzsjabeFWfE7f/Z6dkAEDTRL5Oaqpgx7OplLkmdra5
6ezlJM/I1pTfciduKn0IeY5fE4gvkOlfRWEnYZ1qr3h9AradUiDdwvpehOCRw1evLLKiDu6ytWEj
nUgbWMTJQboSfs7K98lkY5009buDNgKLFbNkuW/VeJGVWP1IK5kSlo+Z3oVgp9AUH9yTnxBmZvRH
K9lBNvpN7hPemxG/USL1Xz7nNr5fnSpiOR14x28nXgCmDbW2z9lkm2RTzMx4dhTCKRoFhuJ5CvPC
QzHistoCeUV79oy24VexPNwOxVuiXKpARdWgENgy7Epzbyuq3BMfv3rdH82i6FdBm0NmrS2hzYUM
DW2OJDFVWp3NsO74+vQq+y3RBzdQLeO1jnU7THzYoVz+FZp/AYTHUI73pDFHxA1cn9pOOrZru5EH
ry/IKeTtt/Tnb7AoyMbIB3nDUquUfuhKzTkbRtTjeAy9oQ+2LWoyifW/bhp/Lm5PAyDEJBhwTzLz
vSgBHMOewSSm5wXtwbCds2lDG7OX/CITEIGOqvRtaXh3JtnIf53NvGGYDv7kiHCp+8849x+ekY80
l3F6N4L+TPsCR8D8YAendoK+VSOzcJhOt/SWAKtKz13T/JesNkxaTgncjtXV8M7BtHxTqK2FqCnU
z2fy7EzpN1nX/pjD0EK/u2e6Mo5GC66gJZprS9Yo8i0Xlz+i3zEJY8E4MW/6v3HrTLcFwha+z/8m
0x4/2KlQNONVVyf19lM8vXnsube2lsAog7BKUoxL2zWzs5ka2X7C6ls2UvPy2wA9ATsILQM+n42Q
DY48B8VbBTwBfHG4TZruOC+1uXEym2bFBAOUbptPSe7ll4p5h2bJN781Tu549FpYRLpFUW2p/dMy
U57kwh1XrOqCY1kAIwgG6kOpWKhw1i4VSRjlGePGGeWrCOZ53zb9PQC3vUnhhgz4nE5mgQ+8HtmZ
FQM3AuON9sVhSzsbGm+OitNszT9jj7VBgoBheyo4feI+fudI1v0mu8m5dSaSAOzJCh2NkCG2Z64c
kteGXaM8aPmC6aAcrr7lXIKqeeCHNLbyri0rqEOb2r3hocL0eik2bQBy1RUtEE4OnrhEn6pGPbvz
wGTAbLeKs2dIOvqxZqlreOf6QpC8DKiRTAqbxOfka5FJHD9qa+1u1U9Gz8Jr4nGUsr4tU/HMTL/B
5p3n2+yJ9CDIN9OyQZn54txn4ka1nnvsx+UTF8i3NBsKpmYOSZxjvllujCGu99iMJ+L23wm5z90o
iBDK9aU+qp2XOPW276cmKnrMdm1MCCAg+7nvuf+yIikulV5UwMFT9jp9sLOnd4E/Oyz6BBQCKXBr
Uul2qDpu92rEjhf/i9Pln8pt++HojHOCDGu35CRJBfbVXFUr26WMxEtZA/AE2KHTaS9e+zk3vBic
JfkQToLqTqYVT7ih/DWdaH6RwnHgHmn3Ku+Pw1xnp0I3htAmQ2PAxngKzOabO6I0mLjETXO1taXE
AWHgvQ/YUTBYSiAjDa/TSFGNkstwscB+TEMQTgP0UhTTBapQ95YFw7PbEkrxW4Zy0DQ3TIJWIxv9
hwWuQJT5NzwYSABLawATVuZuxPlPVHEIl8F77cmowAetMZ4TgTp0qXm29GzPu67aW1rwHdTl9FHo
n7WgIc1CDziotpK7VmnGYVlGwdLUx4f2KIHWFM20Awf5brXli4fmHMUBbs1pyrbzwogzTvf4iz+n
OnbwK4hXY2wFcTktP3TYOncrtfnT6PzIncvy5pXJgbHkhi/ChxcnDlX6MbKtvGaA7ZWGBru4xRkN
vtzGyAhLqR+BIPnboIEmHFsyai2mhJNPctkwn7HF5JwPjZcsjnkfNdUpid2TEq3BTHcGZE0DWWvz
X2rAc2+buf5bOTZUSuwhDUH9srFFWOeY54yZrX9b3mTLFcO0QdyE+Z1iW8gs6SBrcyUM4ZUZl5WB
0mhMb+TzYOqfil9uF48ExG1vwvwl6DQjBfFwB+8x9qxb7dzu7M7hJebKdRgydU+F4W19ddYFZkll
QmPH1oLzt8X/eHQZvR7syj8iqS+hO5m0pJTzdkpKdXTwPTbZSJ3pJN+DLiOYZL71PQnsYfZexgWH
3yB/uZkHv60/JLl7SMqpPCYYnu/NqOX3jG3hiR6HX1hf9LNvo8sJd3xyWFaxUWm31Y7YXHFWQ8qG
5hrqXnr0hIZKRnjpjB+h+qgIBDUGi3fe+/e5bO9sten5ENbR1xLjScv1fJ82vKvK9C13LBMiaYDT
LtbvPMNsgKlTWHjRAOaAsarozrNcfFaDo2JmBAPLeQm4Vkcrd5onv5pu08KpmxcrlaNHt2gfFLOz
L7TbD/lfSuP3oVrcTydwQPTrJQV/sviFRZPrBgnA5pweaePohxIZ0of1ujFcxtgkXie8Aq0KOP0s
JQGnTN9SIWU+OgP+agUGlBQpU4py3PsaX09/gIr0ktuzvOI+Jisn9d0UYxbrCjr+gDFEkt7SlKjz
qfcY+2dtWDSMR1phvyZBuuWlxpqRW+fMY+ulq8uChXvTZuR42MmFDCEJhRgsdcJZDx1B3l3VrmRZ
fwzDuranAgjT3F6XwKSddE3ALEwBGB+wh+fGFMM3LmgDz1kFb5UA9WKwQtdGPz1NwffYJAwyF7Ki
NTdKYk1UD3CotHPzb6HYxuYL40mhuW9O9k9m1t9p6S6N59q0a6dN5CdVwodB1PNTOOnwaCF8Gt7D
IzKiQKmUCwpt0L6hr5WnwRreCHSOK2/nlnIqZdZSWregXBFD8Z/cM4cN7nbt2GqeFc5T/kWYv45a
59kwWEf7KX71F/95jjvFYF03L40/H02ydJyMR7TPDiaZzDg6LHlyGMHlU1RKzmSy+DbY7vYBTONU
zl+j4YbAZMqw8b5mT6K3F1+BQZOo3wKoE1AevVqfQ2iCLWW1S7Oh3cLaWlbqhLWWPY1EggIalJg2
3EAEPLiCOzeO746Afjnm+EhljC2RyEmcwOHg/s3DQg13qDlMrhxfsaluoC9h9FfddDQW60kp8m6e
L/9q+Xvb8HKGr7TrXOtpyec0kksd4vlg5mI90H4/jHbbxx6HSwB//pxqYVC4/FedOyRE8TEv3RQB
EoIYVXQMqjnV7/0KGG3pzDv6TJ6yefmj1SSJdTX94QM5G92SGpUlz7VePUNQW5LplYHXznH95uoO
zpPDCFHlDtE9mwOtE8fPOZQDxM46Wkd7UCFaRJ+83XP7XN22uzGtbUMSZM9Gmlz9ViP9a83N1oLv
OwicMGWWRWYaFEeZ9u8x7VPMOaZ9CvMsWtiTMGkN9sOIgC0q5vMgIDf4jPel6yFk0ElAEUHCwZ/0
AmZGLOBFHxlkgCM0oE1GrQfqWDcd1oQSLMX2Ntbig5GfG6XpZ50HGjYb71bEzqM1zIumW8+yzdlk
2sXVSbAxUOzV7GSZvATzf2UJBa9RJr6MGGp/wQnQ1UdSEIFbhY3B81bxOoJtLAer+YBk75xXbxN7
V8jIsp9ABo0xqQrV7SR3xL7TdRlarYRJ5E3GfvYxu7rCjUPPW6Nqwt3EYqx3iCZ+yGkvv8RCffT+
cIX8X5zJj5/mhG7MYnBP0PsOmcGxy55nLChFfTbcod/JtKP03rBBDgfMDZg/becsqLei6j+l4PAk
oK12BcOV2D0Cne3CHLZ852PonmYoJ031tf5pOs1Xu/NurRacOXhRvp3CVnnL+M1dyNWNiyIxuTvb
xpwjpsc89G86o81FaC/1ME6XojFfdHziJW/y7mpYjCr6PKBgB3BR1rvPAWGXlxgnsyHyLMT8lO3a
VuwSvxw3SVK3IYwU9AHgvBttMLSwyvgFwddfF4qionULbHo/szxYHU2qbqMrGIolXy2Haxh5UqBk
hIV0/N0wj79mg01SEth6ZOtghw3dLfZF71BXk2fkxGwsTX1OGYsiZMfXptuRgec6QlRZgBtKUhmI
onFKOsQ0fznYPiI08Tas4+oaQ4VjXmQax5RtV2lAgMaqUY0YpKa8vukrzmzmeD8lxXIx4/mc851A
WJp2YC/Li1VNX5Ni7EzGlUvkk3wY/fqI9h3mlh9ZVtDsbI2uPcuoDn2R85x1Byo4vTANliZKfsf5
/C7jIo+szNbYE0E3drtTIaTLW+6cVP5VqGDmdEV8bX1qAUbjuR1nCj2yjCxk5XzpPV+Dk2qbZT00
qBYxu3N29dhnG6WP7rGL8ryTT65xER09Ianffc0GDYic14sot/MOjktyk6BhtuRk/1JKku1sff4j
aAEeOapZhHr24JRTBnmjfLjaocEkdahNFUeZURwyhjBj3ZHcq2mQ88iI55o1RZ4LpAvaA5NJ71m3
HarLsMMKmVJkUBMk0GlnBa473DAzpmvum823r8Khu1UWuhhP/i9yhkg3glKjYThLy9/3BUOFcQbT
yPmDtF9VZBGxtBQfn5bj4ll+ZXHf7t32VS6VggZNDMMQGUJvf9V79RqUzmtmIheqbICUXtCbg2hU
jKqFevYV1ICVx+9BuR9gtSED29h3ptR4LsDwRA75INzQ7rfwCyMkVFFHsm7/YSaatXV4W81WWACu
Bk7MrV6XZId5yWZXKNCtbzCrS3r9QBz6WKRuVDFeZqdVLc5Xns0q0nhJnDImXpGg1gr5q7oSYOR4
yfMUW0X1ASMfHHn2p1pLXKfEO1ug/OioxebA66pHB404Ex9rtotvqr32nRo/HQEpRc91bJZH9mIB
/3tctrNTX1s9v9ho8ijMv6qgptvV7C8mYLO44wPY0Ke3wBA4fAZzzyHZAzomuZ3YdnUbSzX1V6el
7abuzMhh9TpqabCX1r/Mz+yz/l+1guZ1qTlHp8G46ZYm0REsCCwCeLnoid0lwukuBLbYyhj/0jlO
18HnC0gX5APX+5C23FNNZNwNTRp31DljMyYIwxZjYUZ7yzZmJLdHX+8igmdYYEbnQ09HCNMbXU84
cotqBTk7vyFGTbfCfMwkBIbKfOc9wefO3JmeR5qUnEWiqZDoTTzcVHlag70bSPzqap/XfK8NBKUQ
wAenpYCFDN8ZtK/MehvGz5iR4XnRO2J3s3xwF5X7cUhhxcaw7js2p94q1jJo6pt7Crwy8ruBRDnn
u03epe9eszW0oXztSC8O6MS7agKSx2smEozzqMkZiKNlV76C9hfOqDvM+JZoHBCJsnhWrn8d2+r3
QOHf1oUSRqwKx0o+V5HbsiU2XcZRCkfsQCSUAb4VUmaPvzT28tCDI5AVTKfVlm34yekdh4VBoKQu
2gOAHFvIJmDYDfhuBqzmDHTG2y4l1ma9ngzsvthXAJq4vecIAobHOzUsWqY8bIWCbRMvV7JDxkGH
I8uT13Jj0+XSK+egvHI5liJms2o6iMuSNXXEcLgdvPp75IV/WnyfEFmQbmSGvGub1TtU4xxtO77h
Rqk3ky4UEIZd35WHgsj44X+UNRc9ww18NvbZ0ajxvgTDTe95JqylkhvVOozW4pK2Rve7FGO7z2l5
2XTlyLrM5bY65CYQPMt28TS40sIVGIgz74mg185f+hbxr8Ea5jcILIJHUAX2FbTdsfYCJ0xGl5XA
0a59W/6Ns2zccZKe9d+dWJjOLbRIdM+OVOO587rhqBXGoavHNeG+EHcFY5FaxYI3y7cPBcYYWK5j
NkKVdsgrO9WyHd3Moc9kxMSIjsYrlQNchS2P225TzNyW5QCYspecxgZ2LgtzMxKiz01FzazVx69m
/2V09EL/+IGLQjUEc3oPHDwTUGGzWVGNE28ar8U7sXr+qjQ9pnYhIz0z/i6qzKPEWq3KGTBOhU7V
Knc6as3gHEsQXvjbXLA7JnXynd69FAEdM4VmUIesc7/8DNRgxG2TOc5PejuH+UjhEkPZdFcUrTg6
wbBtbaq/cUbVoAQQ52bxZqdAWY2FiXz8bFGtufuxeFYUtxdxb5JvB2A/A1fd/pgteROA28FCFvj5
ybXMcf9TYcYTdkV6RlwZmpef/tpRDQYA5x77xHQDsdTv4xgBfNMPk37qHIWMHifHn18ndj00Sf4S
HtmvqYNSyQzHDksPvtD/3N8/lbTpODwjdrc7rXHrk2Z2zQb+MoiqcZmWrYWmhxlhIe2vOfIh4waq
IZsAleHsgLu91YP10aR+NnSVoMfdCJDEV7hbUplAYLX2ZmMI2MFF+6/x68NEB+HGhbu8LUS6Ig37
NgqCP2M/tjs1Yhk33APwboTJPtsuOTci8exnyXu42AyrqbRm1HjSvOqr1kszin3hFJvRDkIKW6AV
xer36sRgTOO9LLr0cR3i5twahGf3nlMfpCAQ2C/ap4ECwXilegxG7ISTrLyIx/aKDz1jLGp+VitQ
jXkRP1oweinoiUbUfWgDM9gEJuH22M7ZeFHQSDVLrjd+lNkdIzHgez8/2lwAraTTcfELdZry9MOt
sLwa+pM75OdJoWvLZD5lqbEjEMysbsU38n9FGB5vnS9eQZhYfjLi6sAyXAT2/v/YO4/tuJFsXb9K
rZ5DJ+CBu073ID0zk56SKE2wKImE9x5Pf78AVZVUllrVdcY9IAgTsAmE2fs3uhlh+WKYF7GqvfhK
59LMomIS4w2yNJKIn9lxImJgpSQRGSndzFgSdeNmDXwwXxgmsO1G7T/omqpvSyo51+6yi4i4+96L
PWcPiWOlZVghO7qKk9amkFjaYLS+JJomIYwZOhAjr0TjIzClNcUTQ9yPzqAOyzG1L2kAYXOLdkRd
lCw/UifGpmzKO6DT/TpM7TuX4YDJiCTtmy3OPN4yyYhqjmNyIPKMjDZhRkBXS/W+HvIPU4AqTJ8r
j1aN1FkbeuCNk6cZOWzT+3jFOo8EUbdG5CKEUdJ5Gp/MWJIDmine5kZ7rbiuv5/EJmv9K9DaGaBM
VFEi+sK+P4UA8zLEW9Pe2GdIZrj8bsBON8LkS2hpoklvoR/jEsosTLPawM28n78q1ZOqJlqA4oAI
DqjF3OgcGykNXssZ9TxPJqm/mHjX/gANolFu7RKeCRFxAVukTDeaM35IEN/f0On42NuGD20r9jej
1GREBg+F3VbgOpCqe6n5T8LmSLUNMFlebZWDXinlmyI8ER2M0Q9WIiI2Pli4asd8AYGKAqxS+hzC
hPJSwCZYoBiU73uvvDYnhitl7j1KVRPPisKdTp1kdeldAj9ho/pTTZ0cKNxf5z+7WU87h/n1YgTg
DGo03XQWQbVIU3ZNKd/uyNjHPpcspIN4g0gjOnAM9i2SP72REDDzvW05GSAv9fTCpT9FYG5YCg+V
GtfD/BDiM0qiVTt8I0BOu2/CWYM/yI/Bt+frVAmK1pPJVAhWh0hA+p2s5LT4vlXbNQYaSR1ftVDU
l1BlAYaF/l2HeMnS7VCc1coNdH1Qx0XN52bkYK/smDHqGzrUzU9MIaE3/cAucoUO+Qz8J1E5Fd6L
ZB+9Ma3z3b5lYD5UINSj58k0PIxYsbHJ8KEBqIQ0c9Tx/qIMbuwBnmiEUMiajdaTSxhv++trYac/
XYyhq46pGbrNUEQz5cW+uZgEOQHLFHW+EwL4tG0aGH2PKZCjWFxqRXnPiGQVeBiAKKCvCAUF0lwW
PYhadSZwy7n/Ic8RwUDHzQ5RbJRIaELNd0UQx1cWkbKsq1cRtGGiT4O3ho+crWwtUK4NupORHRMW
D0Md+3QUECEW1EfPsAFRNmQ61bCplo0TjXsHMu+6j9NtqBrxXdNomLpOV4XnhS9k7r/AM3V2qobM
UpcCNaLJafngyceKFIugRmmN96O5gRIAQTYOxa1ShNTufWdeJDFZAzOnb48FJ53dhGbTl+ZCfaRu
eB2VTzkYXr28yGUUBRHJK20gWZgGg1RaE+FH2JLIrCTZGugIDJXAv4gsp7tojebCE4V1bYTFo1b1
6dEPlPyAMkZKDYuCXVE5e8IQ0AoqJHoypNVXRRVSTZpDjVSbbDEnR78WMr+YDd7RjRT/A0GUxCdn
zqhb3zhmdNXbNlGYmqwEkFt9myQegLY8ci5QT8etiYHPVqMqXRP4abaAH9RNrojHxJxS5PkcPAqT
6TInGL1qCkNblyh240QT1VvgWTIWXX2Jvcw/DKB94Uhk6QL5LOVI5PAbTQUU9ZHLjCOCiL2aOgfD
07eh3Q9HO6MSxLRhuAQpiIOGYV6Lvsy/DEGMNOktrUT2BNAgXJgB2mKE8Z5cQI8rRys+hB4mSgpZ
SlBtBu+9Fx+RgaKhJ7SYp5r2gD3pkq5j9Anayc4uEmcNqg2nss6YPqYuNr74lr/ohaZtRcrLBB9l
BD+NEKVrN58x1OuJfRIKg/ItLg0Lf0BMhm5auRRZXU+wQ84igy2QHGySjVPkYoG0ZlLyvtgTEUGy
/WJoIeT5tjas5j3nfcKMTFY7ZsFrQeSLbfSAxnHnoRq1BH4W742moIsPl01qDNMlNcOWrI6pXwRS
XRS9rWpnqMDchpqQj/PBiMAPZCSiUa1Fdsm3JzCzyX0+5ujnu5ZYiTgSfJXEUid6UqBAkC7hm8zu
a2x4Iie9Eant7wpLX5KSH4+u27uLxAI8FjTWhaWWWIcq1XOpBAjcQ8dGYJkoBmyvDOeLyrijvwmq
2rtOSl79tvXA/SL1tvFzDzoUD/YaCRlI0n3sXKKhhqldY6CWR7DwDvx5jkMmEmkespKL1oO112Xa
Ui2i4jo2X0q/6987IGlMtfHRcyZKBzLTPISRwHoY4kvsNCrNIQhf24qIBUqzEmzWdo7WGUfPb+9r
xS8uh84ij4mlE6Y+/aYpKmiL7UQoDyl5yeWvNp4xkcolkKOAqYBKhDPiYC1IdeT7INOvIktg4p7n
6yTO20OkV3OMqWGMCMnYz7GOboa+P9hojK9ITlcbAKPh1ramL4R4kUsXkXRDy3fQxsOV6ROW+XXl
rJ65ORsQQE0LOTaHql5Aiz1rKGKpAWLVIt+BKEC+Gz4hTkTRHsVVxLN6lO9QzXuueI9hzCRABpww
B/8+xCvXFOFR65RrtWSglKG3iV7/9EI08S8ucTYwfmN8+3qJmE7D4jUcXTtvy5zKIsgHBmo3qCha
1X6lLnuHBB5YL+0gkpo3Pk2jZ4+q3MBLbdkkGr1TU1duuqhfqeI2yQi9B4QPl93kNNuuGtAAAayG
GQg6F72OfZsgX0XMsFjUdOgJdebaX7SC5zbN3IUjdLRhLccQru6a0h/5TSNYKEDpxSiVW9WsvDR8
rM1sNGQZfKxM1cwu63Rf5N0RxbQFMaxyG6KDS0YTQB61Tw++vXhvVGGIzcQT6SRQc3mpgNdN4YT9
+pUwpNvqj8/bAeYhMPhWbd390/OGhqgg8l6BhI8sgFClD9mwEIjp4nGLWDsMmbpHCLRCqMepHhvr
64AR9tG26mrboAPnOF56sPQsQ76nU7Z56n7MSvuQIgpxdABxr6uYpt6sSpcOtqYhbZcyYMkKk74q
HDKTBOiiwB1h2/UVWr5putUYU3z0rOG5m67RsRxuiwKZJtRYdz7y+LBlgfqLhvBObAOMILIfEk3a
IXEZv3ar/ufr8P/85/x7v6r+1/+y/DUvRnQ7g+Zs8V8PgDvy9H/lPn+U+XGPf12GX6u8zl+aX5ba
PudXT+lzfV7ohyNz9u9Xt3pqnn5YWKOl1Iy37XM13j3XbdLMV8F9yJL/6cbf/iNCvqaDw37zFskz
fN9T3sI//3H13P92+TyEX/N/fF9/8e2f//i+23dKvir0d0JIUr4LPtEyBF9A/1w3//yHAtH+nUAX
V34khmFrkOt/y3JEyP75D92WOwmDN1G3XUnlP1Hy1Xc6Ru0WYz/XJoFC3fX7I/jhpzz9tG991PkU
f3zvhYt7nIoigGGaquVSHf74hZaRkaC3mkXHugTVU1oe/M+inbZxMhwjx0Lh3VVQcg/IYYCxdWss
ZfFCUpQUM4mQmEEZoG+UBtjNmsccPRAYtFb/OtERhN17mmOslXT8nKrwyPWC4JGblQxt5tnMcTvU
XeXa1suq1+3zIm4VJXEBF1m4jmYlB1+3L/TyhoxXv4kcPdvPE7WulRjCBMuFa2cXYfrNybsMLh8u
LvOEQOrbxTbV/fWoAjr2pCPMJE1iMvpZe4bfSJHNs80EuCkjPrNqpFkFZkNMpLvMaXGeg1WPIiNf
3Tx08uX4aeY+nyam5He1gPTmodkAD2Q/T0I5UutJ6m+Inx3nVYVnMoAHuL4sUXkhlpKhGE2EBgYE
Drf5XaLWNLwdjJ0FuVGUWOdZu9X6i3i4M4sKBKYuKczz6HiezIuRHBWrofJSKdh5HpCYQE2nthH0
NVE3OtgOdmeBhwCXh4R90X0DznajtHoP3I/4Te2ml03QXleRYFhcg29geAkohS5R1YYNUlWoypEO
Ub1K7FQnfWgDNSBCU131YCC3+M2uRRH5N8HSKpFGREmlOhhyjnRqjtyb+uTF8drWlXBd0ePc6DFS
JUDY0nXeTwlhRmRkakml4beaf5uITExC/IC4cKYZH+bfz5+AN8QEOKrmxsh7cvlWw7ivJ+xLdGik
kyesZ1JJ9dry6BvyPqMXJOfogHyfO63TERxN0C/4fctc5rR42m9eRyyZgFiZdOtqbIvdqdxfHOZ8
83xYX5NBtHn2dXuMlT1s+9M5zfniTsun8/39dVXhmkRoJ6gP8lnMk7QS3+fO1nVJNG0V093kNtCG
3x/dm0dw9pjOFocsAgje1g1sIHYOehV/mNrbJ1IvgHbr+yT7YzGuA/qxp+W5DL3heFrO+8xbXgvN
m+ZlI5zgqNi4+mgkXX522LN1p9MX+GbiEvuTKzmVOV1N1pQN4ZChYeTAtc8bflbudDzFb13QWu7x
tOq062nd6d5O6+Jau64sjAleb1ez7PdwYvxNMIeJc2LFRZ2jp9eqVJGVRt5veT5LB7bYK6N/HbWq
utGsshZroSIDYCE1tFTkMU5HO1ucj0UikKD8vMXlY8P2Q5589CJj18hRjDz1z/ab173uPJeZL+T1
CKfl095n60gJaRdxJXBP6YNuX3ifjXWfyvCWtMUCLTKI12WYhMME5phNb2aBiOW8YbIaPd8EejjV
kSKRlXpoy8pizAjEhmFmLEB+Z/vZ+OPVoOhNIX8uOm8TsuE4FZ0XW8JSG2AxVxF5hn0iJ47pgPiS
E7zRqKFVhb7tNNa387q53DxnEmxNFqfleefT4ukwfYj22bwYCEa8LsH95SSfTpqV3X6emydm7nbw
OaD3vtnQIAASQlFCDAr9DWrot5OfrYPMS3LYB1vNM6HHSzso5zT5nc5z8SS/m3mLrw67wkCtByVS
N0FmwmgxZnTQycvCq/PCr/vNa5X5U2+AbEdaEuxm95150nYeVw/sY9lIVQ5LNm7zJJQSJPPcvEGN
GSkRlfkoqqG7EApU1Xmi2aJPFllEutx0/cdBPipU9QOG37qC4DUK1IPDQMpQdcgWPZWT2VL99TK7
cZrM64IchecMxyMj1Kb9YHv4VspJRmJtSyTu1ZsorpGDmY2IIomowHPtYmwdc9/LiTo0WKm3Fv5a
aQ98sNPQ1jGmu8qDvD1KRu38m8+/7yh/5MSbeGHmle387piyEUwOU+KH7I91A7W3hYM8/mbkZOQj
mh+MZzjEOzJ7603CQKnFxRFTzpEh/z6Hfgh6crBGycpkiALOHkDaZNDToAdICFmqKaEXAaDDwOHa
Gct6pw2kugZj6u95UPmegaa5gAtjLwnKYwkCuBS905SMbhwI4kZSorWe0NlO0lZZh9i7LgeHlIaW
YR87KDJcRK/OmHtvsey9zcvNaeW8PG+ZJ0Sh6ecVGmRoPR88ENFy+bT9TaH5IPNyIvOJmoZXwHye
iZ7hCqIJ+j2Kfu+oRNkHpZkmBO2oThi7fZ8M6Jt4gAR3arqDp2CiNMX2eaLLntc8V+uRzInK5XnP
U5mGcTVeD/Mx/yh+KlNZJTSWSXhLC2uU/TyZ2pA6dZ7lLQt4mWV396fbsSESYPEdEqw/lplL/wfr
5iKvZ5l38cKesKNfrU+nm+dOt9oNvbkwxtRdzjc1P63T7Z4tzjcao7M/kdHjJk4TNO+puf9YhywW
4BDZ9IDz3+gV9nre3LQwyKQ1OxWc5wY7oV077XPa/HrYMNHRhv7j4PNKu5ZP9ey0c5l/u86iD08c
VN9YKHBBCeBNnyf4eHOo89l5OVPU74XON4OE4Kf899vfHPS86Jvl19k3xx60ga9Oaa3XQ/9p+1x0
CpEjqdVvb87x89mfn+l00fGoQpItSB3Ih/HmGKcibw4xFzpfnle+2f11+5tD6YiW1wzBIiXW3kyS
PxbTPFobpTLu5hKn9acdbAPp3WJKPp9WeUajodeTYK01z85bWvRrX0+Rj4wLU0jNdFX382QYYVVN
chJHBlZs8+y8ct5MDoPR8KnkPBfgvbAaSckuotNmq5WD5Xn7m8NBCq5RgCwKJNLk7Lz99UzzclRN
D1PhJpu6ReNkfdp9nntzzNMlzUefN/Nz3+Hx12zUFOGmrtI+zN/K6YuYFw3fAjT4+l0QPi8QYZZf
4VxKpEhb4ZgLnEg28f1schrMg+Je9nVOEydDudfNWsx4htKgKZI2o1GOW948UbpJoysjl9MJ9fvl
POs+V60Z7geA8jRq8psxZPdskH2202I6bKJobzrwPiG31/vaCT7T2SGCMOLd59Tt89ga37CwXiZ5
uR1ihJdN9d6H/7LP2+4RolV6CNHh2DSq8TnAImU9j61jDpO7qJ3oCNfJu5uH76fJPMKfwipYGz7N
itJmEWrm2qqKSaM2QawDBaExtxobZnKEc7Fot70BuZt7Mc3hUBvNRgg6Ybw7yKQma8dql2D2V1GF
YsMfY9c5FDGPYtPBBLNqkW92e0zs5ijUfwN2D2NB2O3pWxpmq7DGM/1r8zbyZhMq+1W8Dp/V7Plr
E35tf7Lb7xKa6jvbcYVq2RoilT9IaNr6O1szbVQybcdQbdcilPY9XmdoRPJMVbctBHttWzeMP+J1
hnjnOq5FXto0bVVzXPVvxevs87QyDEnC00IzHNU2hdDO4nWmNlqulYfdrkrELmg8f9n65dEI7XAZ
TJm7NJvmsVFe4kq/cwSAaSi4zTprB5eMooVsnpMYixA34mXnZB8LxMxF4zw4HWgnPyu8Qwf8tE2O
nYMAINJ3V9QHDNzDC8RwkeQAtospKhZIru+yKPUZktxA+ZioVWZhyJVN70Npbziq05UaKLc4zYKW
1+0nLKHe2652m6gwB4TfQ3ODSmjfiLXp9ZLF4y/UEoqmr3KRVYqyeL/xdPUJPDuahohJi+G950zR
UguNW3e86xL3oerNlTJlD2ALX4LKurLM6Evbu9e1FVz2lXccmmwfi+oqVmGPF5B1oSWiZ1N01eMU
FA+Bl98BIPsEQXc7CsCHomlRo7M/GHpw09rxSwckdWkhd41D00vuN/piyHnMtqXdWoV5wPTnqGU8
pxgqNvIC1SPOTSj/bnRIxp6EJfbZFXI6jLSNLQHYK9xJH5POQ/8DMad4wvvEz77pZbSuoCCGgscG
+T9a6OwCrBUpBtdDmiLVF7YEc1vjpYYG8MKi4oaMsyOmTF+bzI+ArwbguECYM0rASWaA5/vFAMkS
ZIxzYQzWZ89uvnoV+wEchSceYbHeU1FmqUn8Eic2GAy8KQrYRGv6rFoTwIIKFe8gEQs8LS4sxO2X
XWzcTjbowkLXdvLAkUHUcP61Mfb5ZhQf4VrX0LxBIZaD8zFqNfBoEVwtLOxua7/cm+UgtWKWKFKj
rV9koHl7mGDdQP6pxlYM+lGb4SgNzHLdlujT6Yifr8Tkv48xpligQ+Os3Dx7qXXcKBJ028GhXIVY
LS742zZObS5aG65rk9sfq8bpDiQkv8IoUPGJcx8iu6JW8UHAMjKB8mwHbQ8LNkJKPo2mjdGAh1Nt
Yp+d+lWrvqpxqNyhBLDCORTAYluIFfSp0rU86C57WC/xBrJiuEP/sHcqndAr19qbgHQ9+yLosuX8
sXiuC8Ym6NZwLo3lJF4KuxMwsvRbLJIkpNF9KAf/I3YFVzEIw1jlAQnztgsr9KRUn2RTRmQTjAQM
GdTJy4zbLDZ+ZATL0YPgpiVfh85bFkXWkU3S7tymqRb+nejbBkCgjXAKaFvS7Is2cckVYqOV3hWa
jks1um6GeLFIMAHikR9eGV8kAQYmKfjdYYyRYI31habxVCoNjn8vjcok1o4vQXxU6TXwjsLkV/Hj
xCDH6HlFcH3A7izlt/IzcFfkFR5VVJ1WTW51vKaQ26u6euwjqCLKBdCzDCwZnxi5BOiNYlsWqI/p
vA6h/mAzoERRLt756rSf4i9x6ePNlJKY41m3XAXhqxeDzDTZANT1H7DC2iCMeOMEQGodm4+m6tAy
CNJqEecpOEzkZqXmVKPbMT6obLec6IsOFXpB3QgupQSIVQEHbvkJ4S0+aJWOe6DRrtkCTBmn+kWI
+R9ySdSneuaRLAl6kuA4B5Hkf7SRZVpa6CUtqGu3QT0eEW/HRsuOIPPdZAU1UIr9wKZMewxt4/QL
Yu0GFuXlRVpQsWS4E0JLwL9MGiz7JSaF6GgWAvkxxEbvWlx6lpFfErVCGQxjHmQ8e/D4knXGN9sW
EC5DVP8jKksEJp+03H3RhgRtsTpZ1QFQWa8cMVkvPAB5ysGplWHb+PoNRKp9FegoG5XckBvADaU6
im14/2OvH0NMrLgf0JYlkHXI9BhuRGFGYxBf6jyIhZk6l753ECGMQDfU71FEWw+NYiwdsL2GGqMj
EsUvUH08/O1RokUu7qpX+AU7w6yXGTBL0hwIPgWj81605i5HXmupmovyUqSgFPMWvINI23rl2jnV
W8o41AaNj4keCnJeYyyHuFt3KrZ50C/BKRruDTm9jaFfI8+qLxQvO2qF9xVJ5aWvqvEqKKJvbZbc
6z2/Vmw+ohSDU4MdT5u8qPA2GYsvRYwPRVabDx2N79LSAz69BJa8Am9SN3hdZF3i19rtWEmaEqRr
3LzuyRZ8G9rhfWUl2sJpGioLy7+x42/zWz64uyYOoDhXMLoseo49unP1CPTRzq9DvEyctKe6zYzq
otTB6MwNFhBEyCxI7SE3UnvLri4zhD/0DouQ8IveFdeQjZ/sNnsJjHSLGOSnvOQ1UNXkm1D4FlMd
3g8GVNvU0Mx12BkXXo0LveMSt8Ep6lBGbnmAsb01B3OLwsxmxJhV8cNRmqZfTb192csoVSSogYlV
LcEvr9vQXNM5op2axDPIwg/OREo6SMbbSU8BA2blp7CdbDw7aIwUFdFeHalTsCZ8y1MHDAcQ/5VS
Q3CdMoRp7Ch9En38sSrEXp2wBxpoJ0ksFUI8m0YQwR0aPjeISSG7kYBI8Z8Mw+iWXQFGA0OsPAEM
j86Kp6JJWA2NWPYWlQ0Elgu3ZW+7abKNWmPvkYYC+iWqPkTOlravNuu2oPLpbQUs90RV4fg4yLXa
bdcistoOw2aSFaSFmg96SLTEQhdI+3eHkshT6UdYXIMKR8QFzn4UIEU3gtBJ1Cud1EOKPwFUXKzM
5+aQj0dH7qF6TGTvKwK3MCjqtgupEBVfeZjG5hEzkBj7mRZrDQBylWncCgUreozANy6oH3y1L02k
f+m/0W1QzOJe6bmXwL3UaxXfzDwRq6AUGZ42ax8xpSvZdQkL7RLokVQjV6/GSTzObw7qU+hKQ+9w
8GYKMoyG7UGRweAEdYQMK3ekIyrAv/V133kfMRXbJYZZLvwrRN1jXiQjg9NuN6DqvRuNKPOqiWx+
f/zNIhWQIKpgiyrMnp1eJRRpWsWmFBgttKa57tAHCLBYX9iLvLQ/pDldpVihm2UhykiO10asdWEV
XSQHbnc88mxHvrw5NORYXidQv5tD1Xf1whzxyK6IVw0gr3WA92Dy1R098E9BadFKSORGnc6d435f
VQyl+zz5mMDfBUwrj3ZnBvaTb5sRMLQCI2lAmOrer5m8LqO0kayyDpC3Jt2DAxx4owg+VquLewcp
iX0xgutV5RiebFgDlBASMaofc8x4DhfP3vWnEPLsYu9tRr8muWZ8mePu4NgQoC6bfGlJLHcbashu
p841EhMmmR6pK+5UqCRJ0oGi1weY3M5GaTaW02u7yQ4Z2BpXahqoWxFaEG5jL1gZRhmpAKtbd5tq
KCcZ6JctMgmIzniOjLWT92ZFgKGcN2A3BxArrNChAO2ynxrV34/tOiwxu4yQteRL8qaLsAY511bx
IciuxrgRawjkGsgx1Qf80hyLNmiXVQIPAwMJ/4gb1VHJNbEF3WrtnYRwt4sCTWAZOB3CacTS+N4z
n3G59e7rCXGo2u2+5nnVHQNbdMfpNgmsq6LUcSlNiJlzlvdW8BlneGuvw/QK/Q4DkCaCoFPxwji1
GPZN5ynqcp6VfHHOlbzMS6RbYnr89rRQp+j+Na2gAlCY5xANMjPbP9iWXRyiPMQBXrM/ZQrityUv
63JqrUdbIFuca6q+7+cQgNAhyp6W8Z3U1lYWfIMqo+1FONhoo8yzRoyZtx3Td8Rmd6FUhbZXFQ8b
oyTAErmvwxXdHLKNgzOBFNKOZd4phyoilOyb2XJe0lCWrBhmQaIZnK5YdU6iHOZJLQu/LvbFBz30
vI2VNzaAbVCQedr0h8Zt1DWBJvx7bKs7pKJjbGhLvkwW9kcLYaWFjoPEYqzA408C/SEHkGCJW8Dr
nAfNd2U0CqQVuW4u0pboOtZoBFuRsZ7XAPsyDwjNSVWDAkOFWkDqNS+9PuqeCy62gFT0Ka48/FZM
YV0hf5Ayomm7Q1/21uWoKMdoohc+Gf192NTKVZOah6xH6KPUJbHZbtUHpc5gQuSWv50XzSm40lM4
pHZP36zohfaQhJF6rCcE0NGZy5ejClE7cR1/1YR6/7mYEBQfbGShTDy5qnj4lLZ2+qFoEXklZKfj
AAnmQoD30oFhAmyxHt7EF77Dbd7Ca1Q5Gn+LKmO0bli6g68GL4vjSjzRW/xb4iraZABn2yFymG01
by3HqmTgnBXmRA9tRa9GFwxLOnJyRkjr9X85v6E6AkCbsHVxFi1wR0NDsoFsZ20P782pvKpsOpMM
9vQw/kZnX6vhYLZWsPfU6S+wfxJD+adbt6EJaYBrheucnZrOv0I+Pmt3ycg4UQ4Y69Z9GJJRXfjG
uJwMsRMBSqz/jX3NkLe/iH1BeuAB/3vzmN/jZb/lL78t86RNv4RPb2Nnr/v/HgSz3vGLQXE0nNcY
GEGo76A1236nqkTIbIE3h6vOeLbfQWvOO9c1XKJd8B4cvEvAs9V5O+PZnHcO+E+NjZZp/20fmfMY
mCuEKWBXQK4widLJO3/7VY1qFqvBOIgdgtUL4Kup/2JO+Kn6G0EcQU2JWBnYWjoO9i7PZo2+ZHeP
kgSiTd80wlg1qYKQl99PI2hwN32B09x1Uz6qRrlowps3j/knVcDPiCCg/CxLJW7n4u6lnoGNc9Oy
CsfxudqBfm5Ax7dOixtha3QjjUdyK8ca1TVc9hamvUMK6M4GjlBMV6PT7Uql+aIx8u8MGn0cHvw+
XhuJdwmId9Pr1sVIEAgluoW0YEV2b+Fe2/pzjfJRPKCS5V1zmDIjQuV5S8J7N/JwI/qPnlxHibhi
9FzmX2UZRlDQeyHdcbrcRJPd9XC+Ujg0igmIJRT60ZHmX6ySReQhy0Kl62ssHOSe5KF6E5iDA9mz
+Gpw9N8vqiQkJa9JXuB8wWUPDdFco88JGhkdHA7nMz71QG55BWWRUPXcCm9l5OeYL5lH6oVEN4nT
NN7UfkxGWVzLMkGKgwwDmIBd2WwAJPYLdpFFUdTzIkayeEE7zTXiPhcaajkl0jRl1SJJBTkldHci
9T5D9aBLwTHCPFuVAeA6xV+U7FsaJv14IhNYfqXupTycFh3aDikwpKNliTjsb0tK0/mNl/K0fSNe
NOzV/LhlwHht1gcDY1X2iDMOwDnm6+LkpWpvfr9VeT4G5QvbVbeNWJRZt5ObiETO/wfEgL9gy074
Az0reQMcB3XBhaeEW/l45L3Lk8/rlWhdZvFGzstHiNM0BEBwLbgSuvkqih+wQ16OevbBQIpRqwJE
hRIGMBo8NcCRRFf4NGiHLea7/CbSHui6rETI69AAugEuZjZruSgL1+qwIMSzG6H6CLzdUNuAlNZt
0H6A24CZD+u9qVp0HWSs6TMOsFt53DpG0hrp5BnfySE05iGrEGwIl/KqMEVY/r6ro0HrjQh29vSz
Q2MB6AgVCp6fPCxSHdwZR4sNWKyh2twLFGORZoWbwWOiaJ9sLPeTSvootrxdV0qxHVA+0KKfUB1e
uNA4DNTRU5R+muKogYcSBPqecAFeVm18Nyjeg+vTdcXj73OMxDyOULBl9Ru8qD/0hRXB1iZ+45hb
v7YP9WhflpW6nHy0K6KYIKN22eIEtcqcVoU6vu0bxFoIqj3E2aNWJwjBhOBcY3gk3FP/NUOSMw2k
DqrPB6OowQ0B8zUIWN4zWHZ9c5sIKOMWiqkoioexfk0l9t829D8DfKuAtX8J+N4keRV++6Hd/L7P
94bTEe8EjR8+8LAXLO3UbDr2O1pSy3RdVQP3jfvZH7kjXQXrTWfZsTRhCdOQaaXvzaZmvEMPkXbY
ERZZBeDZfyd39GdKiaWbhg7aGzC6pQvpDve22fT7QUwQr9qdiXP4qkyr8FqJ8uhQF+U1mjgqfLsg
QCZDiXHEFHxBWpkv8zJeRcWNgU7fQWvbK6WJkRQuqn5pm1WGbxuVZOLT8rQZ8oZqd1mbpQMNISu3
boCS2q9b0zO0uinzXiTldIgaMHiIPv94C2XpT26HyPoW8/lqWbcEx5VUI9BHuj7T8F2Z4Ie3rv3N
Rj3/L8593pl/PbnLaAVtY4Rgzyk5Fao1qpqaaDahS+R0+bZMdCJPY7BG7KeHjuVfF4jWL+ISHrMe
tn9Fb5Xdmjc96vn8/GwQHm3eMUM/I9NM6hAXtJ+wtp36BjfLeKX2INDRoV9ASFMY4FyUIcrktKdr
x0RI+NfPXjV+dn7u3uD11mDanj38oWvaODF5+KYJAIBg5p1f0aTro6nS4Qqcha43/sp2IIowPoUL
iF5vSkiPmEGq1wD+UW3/9SX9/IoIu8qPS/0TvaghEOWh/9BslRyhLzUagnVGL+7467OoZ/1NHryJ
Sahm06vFXNmxzx58jUYssggejjeTijM7lPo1cKXoA5Yyy9hq/L3wM+9qqgmuaR3mTL3S39gVTrH4
mqNJp8MBSAbLQnnecP7eKGu+NHrbAtaJxispE89vv2mz7DQ9ULGzr8tvtkcY01KCrwZOfuCZH1Ab
grPhRX9JlvrTi2BiBulKl0nVQBrrrP/tIdDVO3rebiOy4thQuQjbCNT8f/3Yf/bUNTrMrmMLl46+
3P6GO4Z0uRahS8it+SQRJ4fbqHKCqImO3N2vT3U2Vp2f4ttTnf3A0HZQojWxNHJG8jwtlD+/jb4V
EW5Z8HfQK6JHEAbj5a/Pqp/REOfTOjZDIt2xoJydV8hjEBPN6/mgQapiiIDS6s5NxaEJ7XQz4e1G
vASft7G9LIr+obGNaI0U146qAR9ixI5x3TX1dR8pW6W3tB1C2B7XjawrTscwNrse7Zb4WJoQ77vW
7dZ0Fl8qXwfH72mXHirCBJz9l5p8726MbyonH5d+jEmeOmrhEeUcv7lVW+WzUZrh7i/uXD7QH6sy
U4feBM4C13btT6+tg2W0BkAI/ojWxBt1CG91fAgWgc9dKUF328j+Xd8pa7tzH+oEQgZU9xs01+zV
MJj4eWf3SQ3GXygusnM2xglOjofhGNUrP6Q7BrZpoXUd6u3VVC4TM79y7GknjfLKkvzrpOlHBpfR
5VAjCpopS9/pxc57JIEdITHeHhUt+vjrW1bPuZDy18ZEcQaJaCYV1tmnGqHJGE9m0myJgKfrtp2I
hEXPeEOQj+7fT1hPE3VE0Reg1bDLRh6HYr6Mbn0lELjBg1E5Yv6YxfwX4pMWWvkK67RPgQczN9Rz
0nemurFaNJH1xsK1M7Ef3NbbueJLpKBikiKsTMaDdlIpW0Yx1GZNhwCqIUXjRZMeUrduwHmzzYhS
XJmcWzcv3jftEUU8xlXomTm6fak1QsVrBkO2QzShK6UHeGaGfQnGubv1C+jH3SEeSDHkaYsQn3HP
UP69Yyb3VWRi9IhO/NLK2nXToTuSZ/skzjDSMhR7M9mFvso1xEZbI/xAatxRCzJppGIc/70e/X/K
zmvHbaXrtk9EgKkYbiUqtULnYN8Q7babOZPFIp/+H5QPsPfnbdg4N4KkthUosmqFucZMUGRIxiBQ
LySUr7xp/JhqrKm0upw2TOBDGh1WuZvdmN6dG5DjantZD0+2jk/TqPXY1iTHrLNR/NbPTUJNeLJp
0VQyv7F1ZjnSuWcEQLQmQgrtwQDFtKr8j7gVH5Xb3gkbFirqgqIRX03Dwc7dfnML0Fmarw6F4cBo
dKEU9B4v0oL+diIMvVPRJlR36YSxXgH1b/vbPJ7+clb9d+HyMGK1TJZi28fg95eQTnWRGAQ5BTNm
/bYu1M6TmQbgAZKialFexLTwQMD9JRL47bsKdl2hL9Uc/5d39ZHZe9g5se3qL5013g9V/jkgwFGz
9tza2WvGfOpfrp7/xj6eQN7lGj52JUxF/7LldJEvSy0fiL1s2a8wZ1m4VI+thpNf+y5ciQJdP+o9
GWgt5rs/v/l/g04khuYSnvsQRqzFpfnfG1GE/Vw6yoqv61ZvdWtu08nUDhD3tW2NxFTv9672XRsp
///5fQ3rP6vkom10POJcywKF+stxxr1Uo57PcbYH8GFcYRurwFUpjyZ1oJb/XpAzrIXsSU7j+dKx
eK4YD3x35EsqSDf/8mn+G2zxaTzD8BDBGSjhfvk06GFmw6n9bgefj8b+smxEdbYBpsMcAW5Wq3zs
jEtHH4cCb3VLgShgnCndFPH4BEoZHgidyj9/JvN3Pw3xMAOshgCGZP9yWjRNhfhDut3ORMvHZJi2
qZcZHJnIlzqaPpnZxu4RyM6KMnXEvpe/Flb1MLmhfupy4wsMmmi1p092E9MSXWWDYdOtrtFC9WbQ
69GTkZrnPtER0qSG3KmRQktYnJtFcGaHCjMpXvrPX+ka1vzv1ugJLAGWjBCUjfh1ZD6yNU0LYwtY
iD37uzKg9nYx3LDYlBKMVo6oYi1TJhSkBVoqzVW2nzsKl7lYLnycr4JOd97NmdDFkWWHiUCA5Ji5
O7/zN3OBo86IEZEu0ExkUWhBVPGedLPCWcKJ50DZE0uYf/Jp8+4FbGh+ykNksa2qPN9HHKMqiYu/
RF+28ZvznMyYCintEpaz5e//ivTwjvOLyRs7WMnQ+4CXxNDRwYhPe2RTgMVxGxUxTkYjWKqhLKk4
xZ8plGMRE/DLwdb2hOeUS4BQBCSA8Kote0ZxAPh6TKu3QjXDKl2S2R49TZ9/07zxuV18PvPSoJIy
LvGPYwVFjTLFFHTmhFlboJiyGy/C6hWXNrrwyfSOBybiicxuF3ScFZh69zhChv/zCXCN+v5zAvzr
aPxynY19PoLLnLpdxETWesqndg3mrF1VLjbNNSIoeFNsoyNzV85iM4YGyMQ4RjyDh7z982cRv1vp
CcDZpFmFDCDe//vLeBMU5kkM3c4vXIlwBQi9bWbgZX3AkMZ0SoR0sSAYwlUbMZei58Ztoars1vXr
g2/nGAMYuGVWOoe0hs7XlRPUj0WcNWvzqlhinBSambIxujF5EQio770xyAPGbfUqbBwv4GA88bJP
8IjTYHYZNgSHXDLVkZWbwks+87IHCOuat30uwq0onLeiFjje+AuTH3vAHSpG4nf9EC9oGM/yigBj
NR8rLnwkEv3VssN3w62enSFlb6/9jds3r0MPDafBYDZpqA620XfPSPOfKu3/oSr8uzf43/SGOhHS
T5sY2NGvqIF/n/TCZNw8TFlOPTt7j8K+QstKj6Kaien//Cv+ZpF0CD4hJUEZIJlafuR/XV4wgh3k
eAgl6qj8TGvYjm69Z+m888aYLkEdr/Dgi9d2aT/9+Y1/E/LyHdE8mz40LqzAf8mrGpAytRsKludS
bAbJ5NXgKfuQ9d2HaSE6nD041+YAa6nMnJWI9GSDaSThFHH9OssreOzed1sM+EXUygGX2aYA3rYh
fNG/LLu/OdEd+B+QGFFwU4X75Rj1EWBBxE7drowjkO/NEfvPd6nnd0qDc5okn51b/a2YdQ1afrnS
qfiZvmeYlOacX3dUX2qdSvDn3BlyuKAxClj74X4nwey4+N2G/dp0cHAAfrenyvBght7B7FB6jigz
VlZl3ykLB4QYnue2DQk052R6SgwEANrfQqD/5mv8kIKtE1k8ozS/hl/YRkoB0KzbYb3VBzq4f9ZB
pi0cHS9gEaeffz5xfnvGLq1HumVCp9L3v2es46dZVAyq21nleezNs23zrmbpXFicrVXO+QunTGGb
/rcT9r8ZuUejjmCarj1f1/tlvUuxYaoMu+52xdy/jpN9b7hkhygmsnWs2lvSlTUDgXKTqVhDkMaU
Z4pjXSw18vAwwvOg6Jy1pcutjqB+npnO/POB+U0pig/okjzqXMwedhj/e2TGaUAF0WVcUZr9zqoi
SWT6dIuL0pm88UcMRJRmobd1TPI1d3qsaShAa0Iz0dJvZBX7tCYO4Z8/lf2734sImV/KAqYP7e5/
P1UfwdWzSh0d/RClW3w14oOGvDvv5jRQE8Fr1/v+OqX7s8VbBJRzVB9qkyIiAK3ibirwYxbJo6XU
jwE9HUTB6B6ub3eJyqOvWfOx8eLLzEpzavxmACEgyh3YWf1Ssi/4qXHuPQP5oI8mbq7ZJkpJCJfo
k4MYyJevXXMuazKERFHhOXR9/54r8TYPeXXQrNR9AfbzfcZ3PJNGvBvLWJ1zg23Nauf6VNVB1xAD
/PmA/eZ4MRPiOCzGLrG08cv5HWteMonSwRwiYiR5TtLNYM9ysQGP19UgnpJ4AIrefqbjX4vYv4m1
GG+xYWvBIfe8X4vY6GUo97cuRHOVu/tUH+x9omFOb4YWRsKVYxzGtr2RshgZQKa+aVmNAD5q/f/n
VORSAv3A0o34z86A/dkMD9MGngyqv8U4ZdVkur5JxrKiaWa8K69EuFiVp9Q2u7+crr8p5DPiY1HN
JYmB/vVr0dScQ+jPA2/euxMzA1G8M70KS5QoOhVRY24SzS/XQEUOqYy2ddzEf7mKf7PKwPxxfBt1
jGEL/5efn0ip7P1Y4Ps3zMW69g9WuE69DqOptGDoTP/rNyYV+k0uSUwJ7sf1XdhBv+aSXmZXQzQb
vKcs/G+VeRWm986domizBQj5mJeLY4pq/CcQhjqnYfgdPSsmPviL7UAu+3ep9l6mGHIM4IsBtyfx
Ohut6G4we7SnDDVH1eIf7eKJkAN0AUTXAbduBVL2Dvhgplzk5RhT6mH9aMb5azeBDHe7Nn3vAYZa
U8eUSI52w7IqwQ6ok/aWKnku+xpubf3TBcp6zWz7G9YOuHSbquRKH1CgG8sL2Ub4jmn4DrsXw9T1
B6o52pONm3LojuIl8bP0QPkrPIcJjjwVMvg7ocv2fjaB7Q2jdU9jo3nuEavjTZuAwHv1rBeod+kP
SV2/XSxLh+TJJYO4r0b43AwYMVRUlOTcXhz6D6nrQzqPpiN2BHfzPBkvXWmAup4s/y3sUjy03IoS
kWnbt6WfvxDJDAdm5ueLMnXwX4Nx0/f+V5Kg7FwbKj15M8M37JDli5rSJx1XyaAYZ3/rGz1gWeK2
AhDku12JnLXDzIJ+xvM9wyxtPU1D9Zgm7ocZ1/OHnhkYfOZfeizIthBzkvPkDglN6f57PXXwi4Yx
ZyS/qIZNUScz+R4AXmQQZGB9PrfgIvDWSZkqxSxFotfLkb7OqOVxu85fey0ddsby6PqUG8/eeg7t
Arq4m1zY2ZNLX1VYjVImuT5leLW4wQF0ly9SRJyTxlOl2/LnvetzuFcEnWxDUHAAITKoUpQesRxf
7v1zMxYRrf+Rmpwn6mLL8APbnlklyA+n5BzZilpnBIw4CrPqGCsdlbOv9RWywvarciqylzlEzBCN
CHKXeyDm802em8w7yQjeWtXOt0MGrxFQ7/UZOn/TbZLDO/HmbF+1zqkvQ3H3zw1eaOuEWOXiFl0c
iC5TjMWRnHdTqYhxa/tZZag5erdAAwBzF8ijjXqblOrGl83LxC+wjV03Ql8gwkfbq7bGVBqvWlxV
xy4ml9EIkyHJag+onbUHVeFslbvYwKSldme01I59cEyh0iyIiSJ8wsy0uYk7BHbXhwUh/nlC1zx0
6tBKrdBWCCPHO8KEFs6mturTZLjrwPmDMjYhctw3uS8WTUp+kHUTrg3AENtUd9J7G/fCewpMcqOm
ZA7miXGe2pExdnGJPAKtSNdM2fgv+QTGsa5qd4NRQvji4CW2Lu2eiYQZ2w2ALS+TbVDCiCQoJy2c
XxCB3GiICe8LvW1fiq/58qTdxflBDSUXQ+3uGtKX5yj0p0enh0DlGs1zM7VYpGdRSY3cSjdONdCi
IyW+dbrEur3eI3QdyTVWLrSPrTH2xEjpZLUnt5ndrdtkX69iY9fDQ6eIc4fzGyUR5oMXRCC4ZRl9
uxNGjMte7T4vNUrkKh5DKyKSeARYxiM4XIaG5d0AQHvjz3xtX8LmlHHpMLfouTsr441lMuSBMsb6
rE3mfFR1twXlaLQ4PtM9D+97KYevkbLfJJgu5iHKW2c0rUvVcZ5UpqcCJib7czeiFHXq+HvsMHJh
glSkBqE32yoSxUYifCej7ovHucApzlPOlwIPXQQkzIppSuvehHphTrVAN2wv2DUKx2Uqd2HReF+G
+KZhuvQr/V+1Ve3c76GBZm/CodG+PO9YRLl53eMioFhWLa/qnoFUTmsT6ipAd8ZZoFW94Lf4lYUk
/1paIf88e0yhnt55Rua8xOnWipLiRQ3jcG95CUY0L7XdGE8o3atbr1DP0dCGzyKZs0vaax/XR7md
JOeyy3FdCyszGEuNX4Pa6z2bDNNATviISjp8nHo7oy4028ecFmhQp2a7t8oBb0OKS/vaNLBqCTFz
S4Ca0m+rpmdmGxgFc/VvakTr01Rp9zio2Dj7dvLQIth67JcbY8FxqMoz11GU9etKCsrOpT/ejKVJ
j2p5mA59+pjgfueM+lcf8PCu8ZQLo9t/U1aZka85XItmxjliu3sjypJv3Q9+6HEv8dll8/HsOzwC
yMdF0GJCdKEth3ujyrydB2YUn9G22bDgOSehefUGOykMsJNouo28Zrq93pP4TDHflWP0pqXbSVn0
81SX4bdXx7dO/uI3iCMLCTBIYlR41KVlHGsEXyu3AX/raA5W5Ytu0m/8ee+DkT9a1NeyOr64k1sd
IyOrj3aNABG9sL8bp3Q9ZKLc0qLt7s2EGSFL2e6xMb36WDg2Z6k7x7fXza6y+WucjiT6mLRerjeC
voGR+fpO79roZPsNrnGGCTI4fJ+T/ujEfbFJmx+VJj8cmPpuTp2NL3D0Ae0MeYzNJ+auQeWqTWL3
0dHQGVYQpQHRuSpuzIWCSRqxEnaCmZ+/s6z6e5JlD1kWMjqYT1ug8z8wRtkhW18JbbQ3WJzyKYj7
JJDoCmuaGdU2bpxAEePutcdbKjTb76nE6KXckcCsVW9/YYbnQdcw/KH8dU84j8EwkhQ3M9nzpQDt
TgypFfbJG/pXc+rv5nHpKte3uRstuy6dpdBGScIcgpu9ema4t2fxYZrxzu6SnTLh+/ksa9pnKZPL
ZHrf517h4WxhbAHbmJ4nJqeMBq6V3tdrWqEJ+r1KLi4o7VoDlEQylN4Y1fyCj+Vd48iZQdb6AIT0
YE35vcTPD0+/BKPOg0rtcpUqDDDLeddhcjVJc8dMcyCAUkfu9IOM87626K9ObmsDZLKpQBaTxWEj
ZBV8LUyH5oOeHeXi8+XUz1nWyDVOIw+prTPa0tn6ypAhUYGgXhsWetAl3odn4LuVJLjQznl/X/rh
gzPNTaDBAd91KZEJGJ2lyIgLNNW4pvJu83TwNvM89uvSLw59B77DciS9Se02Ueo9mZ0teG4j0NuJ
L2QZX8tav1AqYerNw+3RDNyZ3NPv5u/xiLdVJc0DwyN4NvQ0VfAMxvegZchm0homceEeoQip0Lha
d3rLLEQncmymDIwdzDdz8C5Th/BHYmezyYq83phZ2iEhbWCHa+VWV1CNaVVhtQTAkQlo8yI08ogS
K3fEoKZ/nByWBNv9ofVMd1Se9amVlr72RMVUwuxfsFW61zufDBkV9Cp0nI1tahXApz7aZyHjlhT+
cZKPGzSaiTZsJpemhTOf3VjiCBfHjNhZjE2M1ck0kmcgR/iJleKGSuBnSSl5Ae52Q/HDS9NPq6tg
JTK8txqILJjqb7dZwW9sy+7FkdbXxqgRGOAiLh7s20SjGR35TBuPowqUjvY0MRmUBdqOgEEwlpH2
R7xzqqzDDXQc8rMMo+1sOu+oOPAPagRz045AXTtItt3FdzEdvVUz9SfsyvIg1dWbMDQN2vd429bS
ChI6n0wojccBC8ZtLd1DYSbtLoSDaUX6fOia4aNkA0zrKbnvp/ZWpjgFDUnsBpi84K42Tup4vdct
Y4CRPxwAuJ0p52D4NEc1gyoWBHmXNJc6ozDq+ph7toYUJD5CKsVpXnfbDfO/ZVDp1Iy9tAxkEbVH
b4iwaDE7+GSVoAR/fRJDzOZY99HJUqPHjO3QHEG+UVGs9Qbjoaw5muQ3SNbH2txBGzu7yxs2eJL/
HEUqDIWvCHOAlWopjFe2hzM73yIuVAkmO/2gNZAc00glR4fcnemubghkK7HlCCM9YDK3Owpkr8j7
FtlHi3epTLxLlWV7M2o1HJaKbzKqy40bZc2qkEN1HJaDkKU0F9DFCroo2nCMhTvhFCF2Mc12KHzj
oWDMjSbQ8g9IAm/gU5cry+m0wPOHPa4/DCSPob62XLM7Xm/oC25hVfv7VhMMqxXJoe2FjUStyEs8
Z+j/N61XHvE6em21cMSEiUfXp0jBT0npphvcpo9J1ZTHGU3s0VMzLBiCJWtAWEYhqt4MjtMsRpB9
tUqXo9zgWhYY9Vwe+XglZjlc8wAUDqnHxh/r+RHoUH6EUJYfjTHezSLukWUPb54Mqy2PQniw3FSz
2zMQabyUeYTyuRXu6vp8ivtL+fPuKFKopaa7b8opOk5ZxkTtcs/HjFdLHLKg0d52tjHugf/v3LbB
nU22zWtcd2r786EW+1iu6MOwti0BhC0mywOrx0R8erzeYG6cHFX1mlcR3Lflaa+3vVXppG0wwoYr
t71tQWXrQgSAw6DdtE32zSAx3dDM8G6sQeas4/JiZUAKYrc7Nwn4VmDsRNMjHU/2NebfhyDvLW1v
8ItDoE6yvUEGx/iY7a7nXAsQ2ntnbEi4UTWkXV9nrFOrTS7yDMFG50Kxi3/MnhEeKfK1IN/bdt1i
Z+M0+laEguTa8m4mzYfPmAETsOk9aA25ap7pH+MAF87oWVgn3f8+mf1WebHaZGHC2dQDzfeNeF5f
KYuMSPsZ+Qjwnjmxq+54pTA612fRZzMygeHY/+M2XrGCojHSjRVSqgBCvpnB8+yvz1txaXBRLORH
3WGwHsHJ8qLXm+vLX+/po8V4vs9MxPXhz/f5eXv9rxWwpTVou3b988nrv6qvH/d69+fj1kWCP0LO
/OezqeuHv/755ycRU/4qzNn9+ZH++YcxswIbpezXypQJMffygTNN7Duh2Kajuv851Hm9ly/jndcZ
z3/+cH3un4fXe0g58i2y/Ofro+vNGLXQmv75v7j6iG2DC9b1KVCf86Ytqm9dX5Iqe9ChC9+1g+vD
f27mlES6mht+7etd1vThxvaVCLzcgqxMLB43nVj7wBSCtmpOUtfsMxpKJ6hn0W2zPi12qjDCoFau
t9KXXqBKAfcijvtUqYEhX2QILP+cDzYi5rFZnHdZGx+sopwDkADWXT8ZHSYHpTo7Hpl4TZO7KCjO
tB0jFXaN6n5EYGVm4w8mgfXdHBe0T72Z+n2gDXR7E/2bR+pyG1PqIM9+LNwvRGxx0LKQMwc5u1gU
WSk6V9YeJ8t/dKq/tMK8R7CC7FMlOODF4WtFxX6lObO21Wf3q+/eCUPHYrn5Fqoov8Fyb9gwkU32
H/bPeUpKN4A5wD002RVVcojb2dnpvngEsLWYvjd7Uqu7ebK2iY8VcxdhIT1SPLGM/oSTb7/2Bn3C
YYdpQieUTMmrlTXSBE4qP2hl2a6lW+AukTffksdRNveJjf1NbVnET9EdGMU7M4XnbotNUTB/wv75
Q0oj3MU9iYdn9YHs7Jt0bsgqMLUKFQoLEjuKRdRYqIi1REg9SakmNwZAwlNh1V/UcDvo5UOYNeOu
jRjAohjp38EF+SbLNN5kXvO9joYnrcfHb9DHep2U6hilMaMYW61oXX7ZRZY42AFzKe2maIadW5X+
MWrRJiTERtjbavvB/OGUWE3G8jlGvvUQMYuNc3R40tCnHI3pMMkKNZKl483R15vMT5N1Au4y0Blo
DWAtGmzPl7T+XtkR3B9S4K0hIjADosrXc8KAh9SluwOK2K2KDDfPKarWBqQNs2szylpGdtG0Ntp3
4fwDjWN2cW1IjnbrHQupEnRkcry3EJ4lRf2q5XWHEfrAhGyKA6vBuNUZn+y9kLZ+mLKEsa7i5Qoc
E5Q+MMOCDwNYR21mO7e3lZuG+86s38luZUAPp9pFrilvE2elD4R8pUZbvh56DKKV2+I9atFbB9e5
MwqXhLAid6cEBvSM6gB/SJ5IaKYdtrVyBb6lO4byHh2TT2RCbIDU4Oi0zrM0mVHDt3HSciQuepAO
hXaYEdSvr/YMBbYFpzKp2YmKmjg4o2Qbou+eqSSiioq/uClTy/lsJYGVtu2ppz7UeSiz7MJr17WI
UKeP3psy6vzG+4ZDSHvbhLs0bPGZE+ZliKgwdEpL9pleXXQD9YcUBkt/HKt1Osli64jO36F99YM4
s7+OOViLzmaIN06I9xkyi0gr1rORvFqQaLdJOcBhq0ic4oogtY1KUA5NjqNy3lH9SBZnn3GkjAXx
oaqHO2HmmCrwIj51rsMwdCtb70bOGjxxJpweIAial9ykLZzpNqG9gxFmWLEw5/r7ogGrtZZghKND
XkdFP58/cQl516rki1bVn8Oo7JvBYIiOSN7BwBq5VjGD9BF+wWXE//dVb26Y/PmIk3CrStFsCLmr
IE589xyPUERyC6PUpkTOKVp60tT9TuicvKBGsM3WaYdbu1UTvpDVvEv7JAtCc/yeJNV0zwqIEEYO
w6pt1HCTZClef6NkNHounINGNofdgMHAd3wbOQ320ZIAzNLNF5yIw23BXMuhMgaMwWbN308yPDYD
XiORn8aPvbK+h+Jc1ZcupY+jSWEtleD0bq4M/xxX1rqYBbFZW3BpL1fRaDXjoVHGrRu1JHG+LOhR
ujvHmpBlEihjKMvNuE5jW9y4Ze/e9K5v77SmPXV+nZ1/3pisjb3lf4YNPnVkCfZG90dafyuDWurO
beJTVSJTETgEu7QDXVqAFAchqYgxG44dwvkjCaUKTI/+RRHh/4GCLqG4zkq1RJPmTrTRwW+prGD4
hB5BK5mSjMZN6bp7Zyq1bZs0hz4c2pUq320D/EJt4WUzerEZvHSydLY5IixKW+F6iD3srKs2QubK
aq1NKYUhf9zb+vA+lXN8cEPJaxVrLfS7DfuKueHZjVcn9aYewM94CzlFd/scv6sMs9842TpJ1H2M
hfwwdbVmrpxdQwdU2qrSIE6cflSmdZgcazdlk0Mt1FupVqtPqJzxGRHpnQFbJSWXgYHEGWkOUIbY
g94SM7K3gH5e5z4941s5HaOxSHf0cjRONwY9iqHaR1S9tiiv2umpC1ll87gHXWRHXyg2ijXBLdod
s1xpajbp5vjtscx2fmvuyt5kjRq4Mn1e02J5vG04fFN8S5g6butBj1ZMQ+F7lC0DkukzJW+Gj/zt
UFq3/uz5KGvdnJJ6kq/deryMUdURMfg4VhVLjrW4PPq5tna1Qd3F3bGfICuZvXebEQFGWOnet1b9
kWQ4pvi2zM4q696AOgICpfiyhSKJFyDnInFyxDgowrh2qr1tkxlnDE7LYwVCZqzG7OjSTN/kLNpB
BMZ5O7byRsbK3ACqHPBjHZJboGWbzpIPxhyhn0txE4MyT12pTqB7fmGko3iQNJCYyCzttVuW5bqi
5LWtbARsXr89KTTiBxll30cjqteL6d2Ka4IGT259yzFH3dljyxpLrWtvtHO46d0RFFrXHqjLTAex
QDu61l3Lvg4PWjEzLumpbzD8rWPTp/5J+X60zdFUosYyabYpv1pBS+gvlAL0U5Y3awNiy11jk8OG
k3lr+JXyYGNW6d09tAsQbrRX95FIF1yGgRmUcJS5Z3KrvbPCB9laxWON9x+GmOYdGoUS4rKVbb2y
7wNj+NLiYPok0nQ4qzj5wuXWPPWwVY7oTEoMCT9NmRZvySCbo15rQBqWhyjjiqB3zOzGkpU6xDk1
hsbFJk2NxqeW5Eev7jetrwLZCPetmLpoEQFSJXHJVadK3XqMsjPe0JMTUEoS+OvuTbMZA9cY51uL
w7wSqV0ccqY11xMvtPO1fDs18VcBWDxPPXlfO3F0oWd66VVdPCX5sKcEZSBHyz970UtAEm20tQv9
M+tvU0T8p2b8RkGiO2cpY1p9jrQyLjEMLWCviAHyVpqog250A1eXzviGBiAjpZk1ooDZFYh66G0R
dk6NjhGLHGmSkLyUUYhb5ALHCwlTBCfujW5+JExei0nCycqjBVQekuCG/VfTqi6OWVQXgU3bOix6
dRDdfADttVUJw0rZNG81XIrvZCp29sRQOU3bPe5LD3jG9JcpbXV2EENu62oymZlndw1hpKHdi3cA
J/xT3hDDjuVba8YM8lK8RFXp74va/Ob2unXwU+usrAU5oayNMw4t1l6DvMnpNwHNg+YxePapUNEP
RusoiLruuMlS7K3zctzhf+Uc+jgptzgIQlQdwKq6kc2GG0459QRl761qC4cyXtFHSW8lq66RGOI+
SYRY6WHhrooa/1OzpCKi0QJDaDJtnMS21vrYDfsZcs0BKc9hjnMzyL0cWRUrxdg6W4tSVYCDYX1o
M4wunXB6iRtDHC0mFlaFuUCXVIHPpdfi1t4l9aORY2jrUFKuULfsaqdIVzSqEtxfC9YtyuMrs+mm
AAY6TKzuwIqkkH44+Oq2Mn7wbPAEyKo74f8w7FAeJJ7SorPEqp8Sgr4xrQOTLHtd43y4jTy2Ub2w
tY1pD2f499O2GIDGLfnncSadRe4KD0iJ5KtJifVge/7XaAzluRUbzOvju0gxLJIPIAhptBcEFy4V
lZrsjowWTBdibUs15WmcAL6YJH5phzEuAPmdlWDUFuYozh11CDMwhU3nTtsR3/hgzO7StHEvbeOs
EZ+oZ70DINZqr4aiK+O29+nUhFvNUh8TseKprEg8Ka6dvDScwdHn1Y4fJty39mtYiXDDZLT21Rm/
h27pvBrpRz0V4cYXajrZnvQOLSR5Ewkzm3oWn+OSCRjDLp+LUnXnsM+MBzk+1ZnJAASyhHOcetml
6FlJKOXvMgQn90UM4dfFduws84vAyfM+8lBNe0XUEdl2/X1IBPM55a170cCiGfidUqOzUI3igXqT
15QXpAAbgw0500TLTWdHPVRICGiEjf7F1+9pe52KSd9HbZXt23l+quM+PdGimB5aXOe1WSPXuE6q
C/ut6WZcHJcbynb7NDN/1JVF807PXUSoC+C1mxgGiqanOUzVmf1APthSx5sp/jpSJqZqLenQAIUF
3ep353kIC/ICrQ1QA3FYrfK+sjLMm9xhpDQ80GOfsdOucrTPIBy8AxFDTVUubKF7BQMe2GgXN3Zp
TRvX0cstns3pyYq7TZ9587GkULxJTB0qqk7NU9ck7RxBu7kR8c6YwvE+Qzcy0qRsgICemB1VN36E
eDupxx9JA/nTUjMOyXWpbgQJa5UkXSDjhrHaIoLrGJvR1oA1NxrHLI/qxxKr6ga1FENLpyln/sMq
420raszWE0H8Hsb+utfC6JR4JWBDKwFY2SwV0AmKX/1G851VxAanqdK0CBxcxm4tzDTX9EeAm+fh
ACU3bXFWphlkiG9oUbWDiGtvp4zkBr1Be7zeaFdXesWBqaukuC+magMnxXiSXPE3qcRiMht0eTMl
3pcyjH5oDG/e5ZaFVLKsD4ipcFoOrZGQsaw3c1YUAaDFIahak84x+LJD0Udq3RYN5KJ5aPaiHhPK
/1TupklRe42XHj/MNSG2fRp2u34kOmwS723u5nMOFGAFVas9KjepaYqUbwzG9pwSfrKJNePbZOvE
v1M+3vTkxLvU8JogdYp7cx7aSyExvA7D6jhNhhlMhSW2JavQrhwz+IoOCD+jiV+nDp6q1efdxtIQ
8IVeSiiUjkD/qEjciujdNz8bV1qvfjWi63PyL5XGfKiyVfqFunqNs8K6GW3nQGLtsHoz8DfGFv6F
ltVu42J8Koy0PYPCnAVw9sHpnZXHOnpgBIbqwC7rZfJ/7J3HcuTKtmS/CM8gAmqaWjAFNasmMJaC
BgKBgPz6t8B7u8+x089uW897QmMVi2SRmQnE9u2+/EDG/qUC9LmJQttZDz6QPFcHHjwE3R2zHNyp
Ds3m2p0p6vwddLCfkoZycdudXoRXimOnu1VgtpgVFvJpWYFNllozdwT4BDoMb1htNLQxw4tZ186/
PIELt2Y5zvQoqQWgiGRfG3rNfgLjO2EQHddyF2WFIrDgY1lnKsp1jikHEx661gwwrVqq6lVXbfLU
+myibWvZnPQN1n5ahvtCAtyIwvogaQPEaABUTeIz3dMBcugrKTejxPSey80QxGw/5Z4SZfFnMI/k
RyC5mLR3pc7dsKz+FDXGoTaLLQVuw8oe0X+8qLuo0vg2luPP2EYLKTvwFNU8jWBmhHWsjek29354
kUauHqxaBxvcVCULTZaoDYVBlWOnW+73y0u3WgOOobFz/Mhqm2OKf2p0yfVeNBuaLRpu9X68EmEm
Dw7HqXQaKPKqxoN2SMh7kY3lEkmGswT+OjmA6mWbC90/WOVZ8tF0BkotGj9DKn4eOTHKjcG1UPN0
kma+p1PbP8fuzrJavOPQwTZ+hfhlu6EGBZTaKzq+nH2kFtIY96hT7epf6OHmPnAaICdOMmwHlmy0
kn6yJvP2U+wgaxlEazgFbWnfclapZ55LFwjlCBLsqUFcmkb2tR3phbPR64QxTz9RKQ9lII+xQ3SG
eNbVp2+LgnIE9n3Up1kLQsY9dMtcbyCs9cDIDhPx3rVBk/PWRQonc5shozecHEv/PTHCAHlRVvvG
TMZNI+ccs8Po77gannmwRnINitnEbJxbX1kn4nfFiq3qwFkWk7iCSbQiCCXWSdI6DwJXzrEcynvo
6/qhqjKUn1apq+9z5vT0SNsmh/cxysNbkaKDpGhrada4K1D5L5ygFE9WB7NM0h6dwM42giw/y88Y
FrUK97NZYqcYV0FT+xsoqwre5PxisSlbFCn/RJVxuRFdPTFT84sb5MT47xkRkqf10uSzPnGFg/3v
5YRuhs9usCEWZrTftA7yHgD+KEy2dsPxLa6tHwl9uGw5ql8tQ/t+lNROG/XviiasByx2wc53s1+D
u0hddlwcMiL3bjDUGyhMEC2D6IdtV7co+9JtEbInmz1ZmxD+7XhW02voHa0qcddjyP6lrIt2HWtp
nFs34yBLtBCMSyW4zpa/2fMyZJUcX6I5477dIxYFBmWxqRwvjv6OhrGGhZm/+8Nx0so/5Za21pab
8egEDVtRQN1bAvyncHY+lU8fb2omUD+lpzHyQ+tL++7YVFnHgM6lhHPkYxX9sXxVP5rCnXBDBGpb
ySzbezGvTB/EMppjyECNQTUkNhI7y421DI95MXzThUrPMTWasgJ8qxr5UJAsWGdezYaQzgiUBGxY
A9yauOY8kBaIQVMufkYWEo3INY/yAIzXH6gIdkcKIfrQoZTB+FEQJDbJtO6QHBek6xScR4cfT4yB
R36k0fDTBZ2+rBxv4UQJtY+lC4U23oiGFmufZUueeKe4DGoaoa36CCS5AF7rEloX38zJCECswq21
0iGFwnytEVlA/eWjYTzGlgtTwoZKZdgtL+RCvTv0aZ8I9tV7OZveumb9NAqPhb7TSFwkkuu+0OH5
600xuL8k2hraX9rsEC/SI/uiexRI8ZAo5wdnSvNnocSjG5nJNZkaequS9OL3UIealJJKJKF+V0XM
PyTOeIDbqGDW9GCHFel7FtYwcztw+IhgmVzWYzp+oXx94MBUZCe7gkGdtwWtU7E6VqP76FT+uLcb
Llpz3rDeW3PLSOJ+Rbfh+FNzXOtU8B4VisP5AHx1zEW+LkO4zdPkvGZ+dSi7Fs5zm79IJKE96zIc
Hr3TXMtOvXComo6jCeBrroo3uP7IK9o59qHSK4Lg28jPGdNkAhI3HQRodwTTKSBg30TTKtF2clLm
Ag0fI2bDxiVg3uaMAjMpDCvOTg1Agwf4nLvFyL6txjh4bJMaou0ozd00hd99jGtwFelYFyPZA6Jb
HYUd+tDYtXMep9hdhcxiOkN+y8EiIDQM1k45zDRzbV7C2eI+6Mt9GbOLmXIDbCyD7sUL831bh4w6
5Mt5jKOnaxEV3i4LO3srGl7lrbRRaJIqupTmeDBHQf8UZ+ljX5Ay92SL38kurgnU8cNInWXsMpcb
2dNU+xV+mym5hkQGk4z8hB1bxb5kT8kKamyPsxSMysYlA+e7hk2XbRxrlkddUVIMiJ+CbCC4xEF6
JE2PIvjAuJfWBMKsTY4VDqpbKY1rOSka7L28vYZxDPpAJsVl4HWZQEk+uSVsXvjCgBDwwiX5NdGi
W7eFmz7kkeTh6bW9V1XB1aoys/XXhT/omSZ9A9BnrW37yL3jmk4cFc1G3us4uzk2ou8s+k1hZP2Z
BxPMFc9LSl+keZB5d0GVb9aqUd5zRDPZJlH2c11xRokGzEd9zmaoT60fVSare+q3275uxLcAoWVN
FIj/EvmObdWUzpvZH3T/W0stXhrH1Pcg0y9Vi3+KeRhEmhMXb26R/K49r/9d1+h77rSUteOHdQ1G
4XSeHnrDc46tPeaXwBb7ORzlN26DFR5EGyK5VyenzqExIuwm/wrsNt5FcV2ux77bxFZTHA1W6VFq
v7Rp+JSUM08ik+l8qh25JiA9YVksnatW3D+iTLu3fgGyJ4AIaqS8W7O8mWjtIi2rxrsYAS2bgyle
Z1zjq2R4IycXLjMuWI2huE/SGQ/tKP+UMm/WQeY3HkM/hiIxjfchtOKrMs2SdcNTFTH5It34Zxed
cxMQZkC+h01tm1WypROSLvusdY9Nq1JCAGTbZsm5X+GlzRbys0Zy5gDPUGcPBjneOP9uudaNdLKx
J7aZ7GyFyY3L/XffmmFzG7U+pvWw4E9Vvp3t3CNBlQCrI+v0nJfzH8nzOw366kWEnXNomKNXOa/l
2ezN2zBy+cn8HM/qDGAaQmh9KdVibBFBx2p1js6lkmxZ5vSBQGN+ta2HWLHcrqnVwUASPmoK4G8D
9d2nvOdZR2KoPQdeZF56UbVXcGdHs6mfHddAfiaZcwyU4kCj3bXtc+Kywth5pdvoCbFfn/oAnjER
gdVUx9EzHuE3MQSAHfMmP9NSXDzaNLCtaqrrNr6TopCh5l3CrEb8swnojoldPrCjZcaS/aEMrWnX
Zdp+rMevULC7abrCexi9uL12JuRarhmbtqvtbbHcRYwC6daLU5x3eJsGFlhuMdfogp1+io3afAyT
U+vtCVsVP3PkqbU3mu297e+1LooHKlEMBs/c+sCYSIDbUhjMWTO8My/2wyWSIvjmZLpm+8NN0UL+
4XTos12CPYdm2X1WY4Z10ZPiVFrtdyYC80x9lnkAsb81iYP7A5XhGj85jwoXp7zok/swOi+0wpVg
9xMUkuVNwIIK5Eb3mHH/vhODeLScdOXBCDmJrMVFlFnpuZ9Cf60b8katO6wYWQeetbyJNfO2MQ/D
oei6fd/n1rEJ3ewpwhjnmc3W57oIAbCfzx4CxoFaugFJhpoog1igDJ34TaXIrnHZRg886hUJxgYB
WuTV9yLiIAKsI30sq87et2xH39htY9N7RNnzRH6zSwx3pT7JwJdvZbdMz9AFVH8wiA1RI2++Riw0
/9ROwy3Qd+9eh9LXtyZfNQqcK1uhxxxe4zHQ0bSdoERt6q681nOfcn5iRKcJwbyYaP0LpfFZY1Dm
91ql70mDvNME5MWGSe0EPR1MtNba5RDal728yLxQmxJXJnuokItw5kZ3VXqf8KnrfeL1z7YR3xQE
6rcur8Z95LUMbRHfRoni0aUM88yevmYTPGToJEV0qArAPzTA948D6ZKB3MGHpxA+8zx9tEgbsiix
vRWvSVIe0ZH0385rbe9XR07Bi7Z5jTb19SZzLf8qYmFeoDFt4o3BPuijEI06ewVPeCuvzA+twHf2
ZRKcnQF7X9cm/r4w+vICrRzvtut2rwlPbsTe/A0zVbZHPmSkmmP/KNsYUuIQyh8TK6IptcyHJAN9
IGFAn2xnBnZYw4h04DWfndL5GWAVeqUywuY04DZr34eHacphfJomrz4bOvo9Igc9pRHFK7LCqBB+
6VUVHtNKJg67G+QrT7XlQzD98X1jHDeOg7MTqIy1hnDX7Ru9pA7SzIFqTJtCavfOqaUS+7WBm/+v
P3qS+x20uIkKjb47mLDxN0U1lsdpmAgLlPH3qXPS10I+hTKs33o7ip8GZ8BzkWWP4ZAYN8AHe5lE
L6g600PrhMm5pJT9Ma+i5M362kV0ozwtLaUhuc+XpJgfdOj6yCn59JLXKG2EzM6qwITBmOOcB59I
VByq5mOOWGERLpA0yeAPUwrNIcTNBliAnuC8Y4R2MWFXi718dtW4b8shIF9SVFd3IgdZOWxyJ6zm
2x6w4I7tLo5Kt62Xwpc/SA3BvrFNHAz24Bw5kfOS4LCxGksW/NFkcJnhpLs29TjvupBZlrP1dPE4
8K9lPfSc7wzrEFpC3/qZkVdSXv4GpP5Nd0H3xH/sz6RUuJmxh2y7PBkOFTa0laIr9gHbt96y1WTB
GinvRrv0PsjXuu9oloo58JZt94eHE4EwblueSJ2zq8p8uRVbzp1JV9wZKzsiP+65NNxxq8ca4O37
5Jb5SxMb6oXzW7wCNJrsXcn5aKiYsYdZz1d3RCjTk//eOWb3isWWEdcvp0dWO9Z1jupNl/vZhQiH
ywZy+q48bV2+3hi9xbKHDCT6BX/HmuygmpCi83Q+81gVJ9x61lPkntKuyx9lGznnqBy5plmMNZ7v
vMzWs4bz/W79LNruGoxh/JbQFnKDKPI+eqHcFK5fk29Lhlun2uFWBvMDCdgoPIG8AVA6oxvsqokj
6kzwlTVxZe7aRrVfRIOzmc/clZ1Wr+G72/dOFJ9ZiPdyzKTzjk8qwWT3rHsmkoyu0l3t9OqStNXN
F71xY2DABJT0aDz0iJ+t2Di1kkceaMq7N1vdQfQ+CEW//8ZkYVFWy/EcyS4+jKNV7sKRzIwqaGMK
8YEinOTCGxlVE39rx1GzqcnOkTZTbwmq+Jpl92ch7OR17u6eTsotwf9hO1PZ10v9NEkr2IyUs18g
VZz62nGBx8WvMUWJVMFrQauDMW+4TwT7wabk4ytv+/8b8f4vVHBb2P8ZC35L0vrvGPB/f8JfOFPX
EiFFNyS7wSsuYJZ/c8AD8V+B5dt8FIIbIv9CMflfZXjWf4W+C62UlKm3QEuJorb/mwPugA63AuGA
u/PRvv9fgKbiH5lW4QONgUYEjsgBofB/pPWjwYjJWLnusaKlh9K+CST0CMnaxbZVxu4Pp5vI1f4I
euuJKzzCX4hhp2+DjyYMqh0UAJqlBzZISjC3xdhfgVdtQoebErP+vaipR7OGET+wDzyuQit3Q/Uo
6b5aSdrzVtZQ2qyICF86qDtxmoTHObsyii3UFotohPktx3Sw9St8r+1LVe+LaU4OJa6L9dzSCdEy
t/7nYLn9P/xKFk6Vy2/FXqDj/0jih12gImsIxXE2/PAQ26mzxvNwLWSKuwlbPSVh9ippZbQdZ+dq
xsmBm9V3A0YJlNdyoyZ+UgTpfN2F+Kez+CGUi70qC9m11d4u6PFxxeC9JuzXx//8f7d4+OAE/A2I
IcBcQXISCxAFLKJw/kHhiBK7kF6HoyaKow/UNgc3DTuW0TM5DYb1fpqtWzW8V8Q915OE2Nz4uIgw
3r3XmTFwlAaAOcaFtx4GBluf47w3EE3T+dbDRcpwwxKgJeRaNj96Sd2pYxv4x4N4XcfsrhE5z06B
lZA+uL1lz4+phWxM3uw3ijDNdpE+NyimLH7G89TH78KeLwQ4+1UyBh92H7/6DMDrOrWO5gxUpUdd
zDN8+sE9pj8ccaLrMHLmr/MDLYDYxMmflHh9sFjPdLwwXguq7BzsCznRanMWP1QyNyuOlT8n/MlN
QPaGz1sPCbcWS21b7odwrfpw5elfNo61dYELmmXqdIwLTHZMQIdCeO/NMPLviElw7AUsbbxJDk/r
3jZ+spOjFc1nHk4wMvi2P+GzoONER+SL487EvMCzZUh6es5MVv7Ce6ls3HkKg8xa80WMOm5wVopH
UVY/4ygBnjjgds+w2IWT9ckpaERFYEEhPoPkaAUc5KNG31M3OAtTcuvDBbLKy3ZpvmHFn30DmbEN
I/IbtRJwvcU0LXT4SyNmZ2cmHM7d2d5jlfnkhBWsPbc01zOhoY6CJag/PJasw9ZLg9O2qe1uJeie
Y5guQ0q+S11VGzfzcDEWgXMDgIjBxd44EVMsvtzH3HiGDpQfCmVvQxYS5WwtNMDxVPr6R4Rw5iZ4
X/Usdgx8n4ZXMv7ogcpcs692cz2zPSYFOsnpW9m/qn4CO9lUbwB7vyvd/vCLZkup8Icf4KHpNYJ2
lj7aCV5mK01vKqe9CrPLu9fIbzPuKYEOp/0JN6oxb+Og27giOiNyct83YQ+m1P/UNhY5wl51Zu/T
iY66XC0mXovFobRKnj9djp8oYP0qJqShZjfjaWR9dpv6bp+Q2U9qtSfAjXl5OLa5+unbj07Yn7qw
fKVYqtjG5vhpWO626bpTTrIWWYLXysCbeVqBA+OVVgMZmXyKdjnNGkl3dGnzxXUKS8gU70HuvxR5
ehLG/JDJxNwmI4vXJKMJoRLeGorArU/rp8xrP2u7/ZYU/V7Exc7llYS3rfuuAwKcLd/O9xhMg0Nr
WSxXw8ji/JchgbP5r7yXuYaD5Rc/2iD4w3rou8L+xXn008BasraxzW78NsNPGt7T3v3IeDytDKtZ
BA6yyfZaNUgOzanp47vvuj8hi8hVJT7FNKi9T2NcVEVPkGcvWUj6ygQbsTLcp0KorRYYPCx76YaM
8J7OZY9caf0mMQIeOxkJWorilbXSDmwJ9FLPj3gNpUTKZyxIDj1iaWsC/vTrJwx9Ozi3fA2CEFw1
JjykhXOrCQ/jXFjxlR8nP7inY/6YedM1JKwh/ZCYC0sg2Fzx1i96Ltchi7b2OqXQXby4Fmunto8t
nW6ZAvBfsApxywejSp5D9hN0To2vsvBw5kXAsqLBvP/r++aoyEznO93Hh3jOPoH8bJbX97QUkype
SoocT1REWyczt4vAOWP465ua8rd+/F1Az1g1TLgrw5Fbbd0jaT0uH8hC/yNH0PLG8Ieto6fYo5Zw
gLaWMhAB6vgejA7Ao3OUH/0WV1rU9B/zcTIn6tassOHSu6+LmbhnaLLKxZI7GCZefOntsVJSJOcp
miQSt9l1XvISDa51wF10tG0umYn2wnXLydgSww2b87HS1rvjbkWmik3u+1eCt++c88956mIw4xJG
d2Gz8T5Nv0o3TTo+zCk8/gpVqOoIg2cJ29GqlSuJb2nVaf8F/45ckQ8HeD3DmGAeW4N9CdZuTUeC
dN6cNDkUhTVsx8oedg7lhIVUb1Ey3j0fzExc+W8WynSWt7/w4TRInM4vJmlkNSJuFe+oCEcq+gN9
UHxoCpsnKcIH1EjugQGCfuJ8t0esbiSCKJyON0k4F1xCiNaMZY2AxjYR8qxBt2v/Z3RQetKQPEX5
wzMpJBlVRkbJ8x7CAeNonI5qmSHkzp7cW6yFt53K8kihzAtNcdAAzYnrC/eeCTqrm1s/WQD22L/r
jZ+jJfqOC1MRNF4W2Z/SiN5V0l0cRtoluIrfjPYHR3gYGsxL6ads0m13UcoQ2Toim2E4iYu08/0w
Bc+ZSzoiwMUXIBV3ZZhsvmcy/ZzKmdSX63y6HEQyjQPEsDU9KiML81RX2xxFRAQ2rY4dT0UJ4ARw
9HAwndhbh5Iry5AfEnAnd4GFPjE1HcRpNAC0d/QtQZXFqhvKi1elYJhbsECBSUFrT1NLx8ptecLj
kibla7EEMoFgumGBibf+nZpSwWZE1qIabltOGSW/4VHHoGVLjbAbuC8gxuKHPjr6Y4EeVFJ9LAYe
bDH8mlNHr3AX7O3Jfk0URVECaZiLS7Nmo/oy4PvM4+Bk6/7Kpl8k8uSRMyFZyv+W6xbxt8/C8+a9
y1PisiOmehmi7n0OsJzVdelRXfkwaPEM9Gjj61x/W351OspiLuAmW0D3g2LRX7PBi7hMzA/sFKSi
K7b1wn9n2UgShhrEjkqxtrY+iCDInS8YtUXxq68IK0hO2zp169VIoSTG2zuc0u+CG+J6FkTXo+rV
A4Sx7gu81UDn3oJ43gwOWxivOeK9eTLs4ZZBDlil+QvHzxO23ZcoSd2VK7AFR3N4JBbR8lmrOXZf
v346bo9rVNFVWeACXL4tzNadnYfPQeb9pnKY5zywGYnA2PMT4t7YDjngjujqTc3NCBX/cTFsEvzD
UUHrhwowBYVhce/6H3NfykUUbPcK6KHpYVmUg792Wyw75eQf9UhfSD+Uj05NBS6XemDZtK3I1wEs
C+aP7sQq6zAaiKMOytsKz0m9roYUjVWltDxCoxapkR0Mj5NPqOqd9ITaBXO6JV6vz3U43AuQu1uj
RpNrKrvdSNs5WSpJiWEVG6gb8oE2zBeLfuNdtkzKuUBv05mFPYllWTMP+zktX20iJVRNEktKAHxm
bF3JE4Hf0xQDR7n5jOZRVWm1jdxs39UxL39rOHIu6Q5hFf5OY0KEFWlpthv84vNhSB9gVtgb9iPk
lSSKdxkpaoI78wkeJzfCOH1sSnTRPDSMlawEzisWlGtMcquiPY4x1WbkLdZtpJyNBHG2GRcjqwmn
qyywsTS+cSZbqjdTDxiyigVdFIBW/bJ5ToCvbRQZccxhybkjebHHZtaBsQYa5c1ejWaWFAed2qwi
nCktCSVi2NSDQppb3phBKk9//fHrPWvyiIgOrMqWDw4GGRajqprN1wf/9QnOHd/JyMnI/PuX+PrY
ZM49rlPj3nRCnurBDDcYdLm3O/sknklSdKxj1n2aQGCRdcbCOp44K/OE+XpjL9/z6wt9/ZEV2b3K
MuqElojf2CtSa1/v5mbEfIFfiiDVt9F1y1OVQIqq3IGoRAaCGKrFsVQGFQy+3wDMqcTRV6FYMcDF
J24fzz5VPl1GE4BwCZl/ffnly3y99/UtYivgu3197WJJQVJ8D34n4sIUG6ylkfWB+1qlyePVDA8p
iOFjj0EXhx4txplVEY0wzXMUIlgS6Z2vWbhMTI4r947RHoJUzFC3VXJTBFpuZDutnTHh42qatoIN
0ljU8rbZlYhBsWXppjYyDkNelfPzMHJTGCNtP/lxTNFr1rHsQgXEsNn01GDBWxAecDbLEO6jS8b9
ZJMX2MSiofDJ7+XaLynOoVRzVdaTcamjoOHcjnupzTPzlifG1uvr75xH6qOISdCkiXrTpTFySqy2
TYFwjdvjYmpnvhvlYkQsq22CdWJnWJJ+TovvTxAzfhh69xv6ws9ZzfmxLDmltioiTLorWnALaUl5
rDCkeEqs7BROJG9cd1mftVwfKsmtQpcYytrELb7P3JCCDONNIXtFEJrrLJ4EZ9vE6rEUQp1tS/lb
7EzPwrLHyzAzTIFhaHe6q6yzh9SReCq+wdJnVge+x4wvji0Qi0f6ID3QVB2t3H71o9cP0FPCE2CO
etMaZXWuLE5iWRO3r/FEiRJuJE6XPnaliE35B0yixzrCjQzhYNzVaR+/AAv44zRcv4dWrq1R6WM4
RM5p6odvTQ6E3B/8+cJThHWpTYp3GOL44Nk9Z0w/OA+e4Z/BvS3LpElLxJOi+kCFYdyT4UT/aX/P
WSbuEcF/uLRqHWUtfhSjn5whOeTb0WubjdRpdiVDmV4NdhmrKB7VhkXJCYDE9GJ4hkXVJTQzt6Dr
lT3pS4xX7Gj0tH/hEyIm1MI9m5Szxu+LutrTBbWqssB+kMub3hT3aXARpUMr37qztl9T37vncigP
aTde2smQ9zCMrkNmFQdyku05HofXwi/qE+fyaJ79e7CpcJM+KcsJH9LCOySxXCWMJixAlu4p5Vqn
QYqPlLgdDyL1VZhxgmMyxjj/PWpFq5C7qtl8RJxGNtzEWI27WXgs+norWMJe5RK1FSVwZo8q+9R1
7jTD0TDHzoURqdCHgjXRanixWoSHWXiI+0l8s22fprWCEOHYx6dUVBWOy+iX7nP5ZI0E/ehX2E8J
IJ3ZcvmFWfM3/LP5AbCUMZr1savys9Ob9dnlmatab2eYzmuZ9qckcZ2jP4wk/pPqPZqt/MmvOupP
VXvGAbZqzDKF5coTgrplg+NcfMaBk/sY1vNxBURrQL9HLwm8EZQK3q3anWF+iNw9mDNzvOVKd6Nb
gkO2kRjnSJx1H5AgVTJex133Oyt0cuvG4FuEGaEPOcmMs9pLlniEfSA1NQToIXtu5m52jlbSgpHA
YVlOM4ejJRM7q/S7k9b9E5QZ4nb5SZVVjF1dXiOn7LdppSsGEFb6ALScim7TYOKnc8psK+a32aQ+
OcxKmJRAglFLkV60PyIoYK+a9Jminu4MN7tSj25a3lOONOQwAjHuvanFP9A5cp9g6jgDvL5xns52
taqCY2TsZ5p8b6YpScRWoM1hsVyjfLZPqgD9bZZ2uE91CBTVG7jKKCxpphmdROdVr2BtPnRvmRf1
3igjfenGbpOjctyjRGMK5cBYmu6TGS+xzbiAgCOsbYMFNfc5nWvFPrTzhnxDbY+9HV3QLe0Y/IrL
csIZRhxoLEhdu/POltrdLL4oGcMusj3xOoWlPvRuz3iEAjcWWXiQZtevla4eVP6q7AxLVbR4CYfo
tDjRNMSgWjanuWjP2JnMRzRLin15cpKWGhymgiYMT/7y5uu9NH2QDbdkGAKsl9Xy7gjJC0WNu2Ni
nOKeUkdSoocslNM2MtGSDIXBb10YENomhyBuaUjjVCTNn8qwJuz1hk0eB1+XZYbUH+cT9lGLTQj5
yOVdHH4OikJTnMrmGFSDGd3sonA2czDBLeZcgr6YEUHKZxLvDPC6zCiJc/0J+prYJH4HijRieff1
V19vpjYEgYXUkWs80iuR2vOpJ9X773fzukmPJqlMs3TN07S8+XrPJvjPHKiHf/9ZTwWJ5gy7ZV7A
jRBK16ev9yrmcE74Iq9P3hg7zDuYdpd/0qVxsK5Hiq3VcnCBCiRPduYR/60VSfnl76Kvo8tfH/a4
92/jFt/JiMXRzUP/b5/79QW+3vz1Cf/4o2lmJdF7RVOiiplB//oUSlCKTVyRG/vHJ9Nmy6d8/cN/
vWstXEI3AcXx12f/7R99/SVGwh7zBFn1f/4EXx/+x7eAHyUZgRNIFcsPjTt8QTOO/vqvb/CPz/if
vspf/8QaeeWm2tzJ5bTIhZD9rRiLbVSnDm5Rz6WCtE6y7deHGxHwax9CfshMPaWxbx692tMMdbzx
o7Q7IZ7Cc/j6M0RWfRrbCOkuKuotAUKGN68sAfD0+AqayXgmrfbihWUNh41nAK+rnyGSz9alWIbm
LcOqT6w1+ECsGPAjNda7wC6eQz2f8Bg3e4NK5elctApRgMUCEgBZdsBN38dqhhQ4/ErKetjZydqL
o0tny1NFu/2KgwU3yAk2UY79hs4cj6gz53S3fxV5ma5ULp/T1P9D5voWus0mdsJ7bcWfXk1y1epJ
0WfeH9Vt2j69k0U2V2OX+hvppXCd4o8eK+uKVQGFBs4Pr6UYE8EH/KEyPimr51Xnx+tsXkAi408y
FJCvJRaBhHU78bCA766ni1MbfzCTkOO2nqtBvGb58JI0E3kzKmK+NggVhrFVUQw/ncEF0cRk5Nny
XYnfwYiS6wb9jersg10eexMFyCRgtrC2f8ObWix7Zz/JWVLHe9uKv4MuTBG91hJ7oG0FZ3zJEQfE
Jd02bDTnv6yDqdfVLhS56tnIq/MwElcpcWhCAKtccbPd7i1FDEsQ04vmrZ/cJxd3J6YyjJKp8asN
hAm7Kr3ZzUiScn7N6348kHhKVsDzHrRqDyTPTwVnN0Bn+UnqKMb3ND3J2OuvffTHrzGm5w287gRf
7wReedV6zqWhKWiTeppzZ+HQfkGgiWQSfdoW00BYvI5OgLVgmHfBGQoWBoGcBG6IDhE2M0YNrkn0
BXH8j43mSTevBI2HPzajKYu0PHC+T8YATSQ6EiW9Nu5wCPvwoivIM+Q9OJ5fzSB7gXuAMbMOn/1x
k02XxhVr0u2XJnAPXjptQv29H7Aa1IPxcwibBzDN+b6OxZvM3qSdvY9RQttq1Dn7QGZno6OjMxww
2CAiPFGtEm0CT/6onZL/MhUY5EvjvZM5/nrC/bEbGs+la4uoxGDjxl/QkpuIZdKy8sL1zxKCwpBk
JSSdTEugAYSNtRM1B/l4GWS8uo5ALf1SxjCuZxtvT/vf7J3Hcuxotp3fRXNcwZsISQOYRPpkMukn
CJLnEN57PL0+ZFV3lSquQnHniug+RSbJNDC/2Xutb22VDGBVJBS0HBAJA0ThAOKboP40sxdkp743
B8uZHy0hFp1qMX8RynRRDRXaO6J8J6hzLsbgKoN0x5uShg4lxScixnFhacFzXOLIEdsXNmWYP1jA
5APnThUx72KMfIgVPnA1gWMKmgUpbPYbXn4apbcys34IuaoRcVZ7K81i0hFSxgNL/mhFwovUdnLR
yiWOSkXVkWE0LQZwpURUwZdSv5dfy6yhKJkbFIIyEk21Vu9tcapJZUOksU0rPFn0nyaVlJJqqRG7
cNwsAJKzJe76KYb8QNV04RBUhaC5EzowJrkNFF/SjvWcTcu+0qTz+v8gATCSsXSlwKl4abcazbXm
iQuekUaPuLQa6Adpb8KSoWRXZ1QZMNfldknoIfCDCCqeggooQRMeLSElhtKNR+Jyu0XHXCUTe0+r
gNnMMFghwOoiKQ3NiosAHQFgyMydjQWF4veWcs8BPFpECpUy82mbyYVsZtG+Hb3GTN9Wgi+hPA2+
tKa+BZkBs0jNLmm7UG4S3vLJoEEFSghHOwU7/UMu0a/X64GUkoH+l5af2a3Q1QpuqMA+cH9+N9RD
OBvSh+mHDX7yIAcyv0y/O/qQDRjDmKA9YyxMlHLh89qQpttV222HM8xETN+MkMz1HJ+Zkc6DM4Ki
xC3Lkl5KF0wDWg5raUxwdoBpLvJcta1u/fgdqQPQJO26wXI6WSjD6oAd8xqqOymAE9ifOK0mPnSC
MHqDXn/LddT6iTyHXi3uWhppyJy4BGWVnp/6M5jshmvtoCFCmdaCfbfekUW/K4BZuXIPIQsRlR1Z
ApTiBLN5+d2s9XRc33DsKBUeTqaFl3AgbrhSCDk29C3i/WoXyPN3zR3UUHbG7vQyxJRusMi+B9PP
JGBfTAuFAOnmPEq0dwVK31g6F5HSqaj/oF+h4FbROqAi43RZsY20pdiyc8IlxWZmKvcmIXgrG2ij
UoOFIqe9xxJd4yT9VjI585CBUhFMKoRl4XhdGvM7ZQytBO3ZSFdwBneDLMkXAQ6MR5jQZ0dEqc39
3Thdy3vKYNAUghKTyaxfkjTvCUNrLducOpe7naOv48hlBZHU91OhPtFYwzFnNTkD1cwFEYjYpSzh
0eS2tPMKj0mH56hE9OdPChbcTthmwu8Gvgl1Azo7vYbjVcph2xCC85JmF+StizsvIzjr0IGMKZ/6
vp7sCUpvSgYFsa2wJmbMXj0K6pmBL2GRRNKyxZAQbu8N//+vyvl/qHKAqJjoMv77//off4TFuJ/d
558JxefP/Pf//G+74lf8WXz+XZjz59/8S5ij/gewkzURbA3nISEMocS/hDnmf4jw9FUVlY1GmvD6
o7+EOQbRUsTXouZR9bte5l/CHOM/DH5AtJpiEdeiGf8lYY5iqWtQxv+h5JDIQebpUP/IRAf9M6i3
x/gQL9Ek7OYAklHv4zE2bCGJ80tA7KWt08jLojUYIpkYrhIUCuoMMoeq2zVTE9ryk+qrIADcSIyh
NXSFTmEdR0YPGKRtuK9yOqOp/KUb1eyC6rs2uqzuMbJ81kDrN+MIARN4IhV1sPdulmPNSfKSuVSP
iP4SYg+eETMHCFNK+m9dr6VHlHaglJThMI8UR0yqkSkSFKJ1C0AFeXm0MgzH0TwckUynG7Ec6fiY
4gm8v4zetiD9vU6+YNjV9N4mSt30eIuADX7V9Y9Cg1HUIknUiAdS6XONdGX6WiyCGMflHtMNGuVZ
Mz5KxJGbOaeSWTXZoRaw5SsmbtNw9OG+JnY/SOWJ0KqmKfeQDYpfmq69swek3ilCulqqn+HVEiXE
TW0GMTMx4WfCd5IB5lOioLojJImjC0ixg5CVpTrRux4kbTs2kpdZo0JDgGJYWeXsQD+j3vqdDmRm
ysYxz1If7+FFpH7k1/ra3RnrF60u3KpKtz0FmFMgwURjMXhsepTGcRw95EyGnkz9LlQj+msIf1Yt
c70tQ/Em3PKItmzcqoWj0HShQtDvqRDj0ivwzgeTeK37H2hmliyHr+Nk4osd8dQCl/zGgGXsR713
lHq1ZFrxclbzHrC48TjHFRXgXNUvdXZNE15wkFCsY4vzWrYND23WQRDthEdBKSSwsukvfa2lDTig
SdC0agchUejHRv5YDohqI0la2EAna4E0aCmLKtfWjOk56Amm6Cr7Dkor2yeYlXS03EjCRtltDWrf
QAKe4wJgQdEo1wh9DacunzfxHBaHgYbaVNSL176UE4QLmcJgpxDADWS33QWG1FJLqY5suT2rDWCu
KIh3pvbuYB4P5MSH5wKHI5LwmShNUb+NaVm9lrhtAbibGVEBFR6ETSAKUBGB07Ccpn2yIIhYmItc
hHKqXfbjthPil7Qqb+1S4fnB57qT23YjZAYLQNKAtvpqh0I7Xm8IMhA1ik4FcJt9lKvZJiFxUNdw
eqnTU09f1VrZSUsoz7uEHarZCyKgJVo14Qi7uqwvyPMGrEtwsXpqXDg+DJzG6UbD4UShIxvdUcyj
Yyy2K8f3tW9n0RFYMhhW/yEnwwVee2CbMauDtKseBTPU4I5cjTExzziHoVolGVu2AXPCYPxOw5hG
PHvkYAFlTBiK4gpd+IVqeJNC7fWtJf8WUixWijD7xdRsZc63J/cRIw0Rd4pGaIWI3JqVaYp9hCaf
JDiKlMBjnFVw2av9Quv1h7kAKVSSwWCTDqlvRsxiHfjCpe7eQF0cwBXT+W+BapjLd4H5HSmFfgqT
KsBaXaFbDrtrr/W/U5EgVdrYqpOx3THWKTswIM12NHAz3VAf6xMNnqPaobgfCpqioH3ZQB1lmYQc
SXSLcD53KFjcItU2Yr5sUyMw3ahcUs+oGIBULTQ9ycRJ3iUnQWErrwCQ9xDF7yVRVNEMYb8VctFw
oHKg3cQ6iGM7CSu2tKE+Uhaur1GBOAzbcU4/ib26ppzUjKE9Ro1CdEDkDpLyKFbGuxbQ16RQeBiF
14x13ibv01dBJctYiyMqNEjvnSVVrwJEcoa/OXxLaU7g9qLcjZvuEunlUyRab9E4aWR5w0ZmVwWD
oak/wcKe6amx/EzpIs+VQeofQKoIk1gzxr9hEI5XyyJPVl3Mp3wQ4KAJnXkrY2QLcT76Srn2yvvH
Kc6JudDF0sOYM+4txnGpp/eXToixe0DJlvkTSjGyT7l/rrocS2j82+ymzgf1yU4OIlsiTOiXkXMt
7ODbRX+zquSE6f6RMvljJ9a/cExxOw55tzFG84igLeXm7AnCmC7AXzamxCIvrKbQkYVq8Exzgk7X
++EipjR16ZCK5xGmzKWXjOcikpaTKbVIbKpI8JX6vRBVzDuScATsKmzScvmcyEXwFyn6rSzldEyM
H5BT+i6zdgUocPa/yg79tVckUn81lAyfIbQjvBePKrY/mJiBR31Y5igkYOOWwlrbj8BYRu2SWDON
eANSgEihhDq52XqtBngZ7f00GTcacTtZEMWLDnREmbS1FtlXrtAL9DvEpT625vIZqEWyT6v0hYi4
8WxV2i4ENEsi4FQ95hOcv9TMfCK+0g1eMceMQ+3U1MV1lCPdyVtc7r1Fk6xohIxibfW7sgqRWrLM
6B/L0D/0/pM2SrOfNbRsOQVmqnlsf02597W+z+ysoFjUBS3cQGV2JCgLMO3Gr0XRzmJSCy+KTrVb
tb4GAxhkR9UBASPNNy1XV6B88SBoOs0D5tvYWn6lQ/9FIrfqt1io7Loj0JBBaZ+ECvN4Hh0KU7vN
CRpOIRArV+2ZKgiRAZ3e1U8imkVbyPXB05TFqyQ0DlNk1ASbLTh2U8Hru+yhypkLhZnmilyuQCjp
KQLsR+2A4ayrpuS0bn0TXdB3U0M7FD3STE2mVZ0l6XLiJX5APlRUQvQT9CUgbRBoZwlj/dJVKC2Z
oOst/tp5iylzpAWps/pScIqQYYCSLUKFlgFAKtbqhTS/gedfgVvwGOIwPWkEm+Ssnw6zIT6E81r2
Wwb13A3ZvDMG+TOoAW7pRm+cwgFLugopxAeCaDmiCoch1KZjnY8xXTmY7xqfJHkqa4sGYtn8moy+
3JQSMYxq/dFVyrBNW6aRUGXv2Vn7GV/dDdUO6aXqoymtsEMhf43iWqUNDw52zqpNhKgDdeS07vgm
wEjC8hXjSsakVZybUqP8oq2W/Fh9kTtJpnURs37bYIl+qR4I1PRLE6lM3EVM8pWkbswOhXcy4LsK
g8UWy+U7GhP0HKz07KzsDwnsIVpaOSN8VdDMA3ZTzWgAkI2+E9XSsoijt2elIeIigmXsmR2nFcOi
6YLaCSTGNWm1jQoVSUuYL7Op3mQl3V+mCADlWjyyNZQZaTFxhzTithg4XsBYiJckP9GhvcE6EXZK
3FEIpomh1iPo3fZA2seyZzs8uMsyuPlE4dmaXxYG+umu0KGSa2bmZpAwmhRCIm8aal0bisyRY0zA
B5taBk0DrzGvzik14GgtBlMbYRCAtOwkiLfmQ4DSzp8EcZ8axU02IHBNhUltWVnrz8YclHtLFivR
q6qi9aY8+pWvRWidXb0z9cFTrEZPcTBRg4Rb7mYhUX/4ApvSAwYS2eZaANfXf7S19M2uvPnz+/uD
rLEl+OiPyr1+3qyldILD0Hes5fXQ4PNC2qTmrq3ld3MtxN9/XKzFea0XQQ1S778rM+5f/Wff/meP
TYPMlj+NcRmuqg5QN5BMc+L9/q/Pcv+9oEZGjjm0z2jzCYQMrK9+/0dLc9R9f33frX2cyCSK6W8/
+duX99+8P2eoKwseRdSLf/21IMg0G8MS2/IfzZP/yqeUwoidVzVSLDPzj7nWaQX+++//+AT3F04r
EpFyRbD+eOH7Y3Qq1/DzFHzJ2mOwNPZUXalstful0GD8RsTND8Blo5Zav2qztb4ZMJ399YMGlpdj
rFdZpoKskrqOUrwEe5oCUYqqp5GpzNz/CRL8/SzmfSnjpK9D3d/+uT9mKVNEWymVqZ0i4+/6bCvf
e1+rvAUmTmfDk+tYo8vZ4lDuiDZZnj3L6wmNcq7QblXJWPmU78VVKnP/6h+Pqaq5FcGo+rPBuuUA
rATFnkUHjoacM2rVTFEm5IJf7x1ZS2te596FJuSQ1yC+mcxPoqXIDbg/+1//zHdxzij9+bL3H5S6
tcmMRfMDKS/QDw3FPlwGYROMKaQrBW7Bvx8fBnLU5lLGmxnk+96o2HHnvOb9j6xIR4RSlBuLoNiU
i6VGN33/iWL0GCGGhmI7bxgQ0Z9v/R/fyjPuU+J1uKKPmoWCaX0HWdvFeGFbHN9y0tCU5SuTW/aP
b6MK3ooZJbGrg0zaN0x29KJo9t6//eMxrjs36G0/3T3Mm2X/UMb2Q0I3EvevoG5eRcv2cVoikXls
vHGTHgvbOL1Oe5zFu3lD8JOr+QNNXOJ2eifRNg/L/nXc+J1Hl8ieZg82wpwc0YpLyy64ETC9zyFX
OH5wazztCuJic4TA5pCh4BAY7C/71qU76r2vL3ZkcKaO+pA27mtiOsfJSXev8DpfTWGjX+ZvHuhd
XpAq+g1e3VL+knJPSG/c2H5+fMWWB0+QhU7cO5HpLPt4xyr4ynuTfJYAV5/n5tr+ad3Crl1pj7PD
hXo0Qg+CB+ZW1i1fIJhwLGYgV3gd3+L6pBYXDsuS++3yUGrfHJ45FQlF2VnaG4TI6YNOJOlEHjk6
20je1yiMwArMG1HYtKv710NiUy8PuoHFBgvQTpQRBsIuIU76lIGGyFipjw/jhlMiBdCSnDo5ZukW
7fHwQ82ZmgVSf7TOKMLM8ZX3kR570+dtqECFZ3pI9rjRmRR2ILDgBDc2DTHkv2bo8QXfWuqmWnbL
jEGfCgHNck+9RIUvjgdrBsFDKddmSaBbJ1L4+m9q0TKpdSPb4a30MaCjRUBVOdXoBqHbpLexQ+RL
QnO7B2RkFGcW/+uLTWcpczkL5RtuDcaPFJAGnLsWT70b7/TQnanoZK54WZjXTijorXjHZYHlxSlm
T6dbGXT2iqm+mRd6/iTPBMg2Jo//gOP3SMcxHflK94TGZpC5S+enL/PsxC/KBfomBVtSUGz1sTjB
NhpO0V7gk+5JbqABuaqPnNH8Er/FfqtxrE0/+hIfACpywIbfa0TMB0cnn1+Cx5VwaMGajj57b9lE
TwNhfM78tW2fxI0Hlqc9lru4OXWCZ+WgAl0UgbmjPKZO9lXkp2TUN3n6subQhAg7ELM99jZmI5c+
2E/wzWIRlSRj4Lk6RfKhOxc4oY/C7odeBf2+92E3ZddO3hqbMt9pjBhV4BgIOtiCroiqoPNyRcEy
Cxlhr/xMP/Rb6A4dsQxwU2nw742dKi0uyaa34Zz/gmDSvEgJjnw/p02KdseykxcwR1bL+amepNwP
62tbvPPnHe08eT0eKghdO2xczrrEHjv3pulDIHAJ4wixMzvK56/LXvz2+WH/Rq3kQ0q2gzOweV9J
Hh4XUoZv7weNNs259pGef15ceO1k5oJ0sx9Of0XHiPumcighqtWJiyuMEG2sL6lxZs1bsZyiFz4c
T8kNEXFijfaxmz1Q01xTqeLMMKDZm5FhhxOMlhhPWjSbdjyowobBYJZ/8NjbXf/JlQybV5ZcSzhG
4YmLMqNFAZ8E7TK8Q7TlFSEnLWTU9SgV6T41n+vqyaq+Uf1HteNDCK+bXdnsYAaAvCJ5g6eMk6PQ
fLXofngCzbxB0cvRsLG4HzKkmJIv4YCT+k8leBgURNqgweorUiCHsaIu3kURIlL5IFcn87ZIsNwk
FO7cxFkJ5v9VKsh+THYDe/FI8nmKqPz1iiSnfGlbD5ARIyP3HrVAjRRBN4Dua3PeexTSjvptSva8
SZtdvzxYH+aFMyw3W47r4HzGjnnp7HMcPWo+/RyF2d5meOI2YVgYmy2qeYPm9YVsrk/lqviVjRWK
oTw9LlDSfb7idBg+xGVvHbsZY9+5lHgNX9r334yrQB85z6t/al/8aHzj8VaOxQt1phnYo0PHlE8a
Wp9V5Mg3OiYU6j64VVC7zt/IOLzKbputmrImP88b9aZfgK/fh6a49xUKBrmn7LkIeSfTfn5DNHnm
GFB3o4rhL+pbL7l66AWXeUOnJXxi5IyPnLjCHjhaRv/MW1D5ZQ06s9dx8ZrTZt5kIPe/GX0YSgna
5HMRAJfugq20J8GCmYMoZ7RoTrWOmsULg2XvsrlHCc3+DH03n8HAtX7UL2bKTMpVLzyrXEg/wkfJ
5C5shj0nizIO0YiSq4ZevgP9wd/nyce7ehNOv6fAE785dEQs1+waXe4kbsf16ZNXKikMu1pMqA53
vsNPGarvL6/kvmA45ZFQ7k/jA+OdLTwbV4SMb6YNCurK9Md5NHwOUPQ5fvOFDzS+WWeRlMhS+G52
wTzMxC5yoteZUHUZHaS98AxZ2rS5NpTioZK5Ii+J4TKZLdeFM8qlxXslxMzJj2zsuRzgi3A6kMv7
LCXT3fqRHfH7kyuP6cJwYNDta6RirnnhLFlX7vqFmbjdLE56NK45z8d84L8aH2zDjhVPHIGGRkYK
fNsXL8JJeJb2nCT+95q8TM43B0G/TQ7nhcOknTjifMnn52Nx8TOFDvv1PtUOlQd9gZ7vlelFI1it
fMle5BunEeFG4AU349R5XNEKY5RvJQxZHCvjxOynXbnL8iNPm3wCH5c5f46MRHHGUWQvwExcmu0z
b3q0uGa4WNiT8pcMldRZN4yi7ds7f8waJeeStvIDQ2W4K5ZtTC4dxF8ne2EYlPbcefRLjnwyxoA3
Jnft9M6nIPyLnm5sM4dyZGERe62w4aWMj/emRQ7uCR/8Q8VzdhhQwycue/AaONKuKKBnbiPOC+ht
LJOfhUY+EJdz56HtZ62AARkfHDptnyOcN65yZfznr6b1ItWnDZdZ9sPbYvLnJdiKL9u+2VbBQ/vN
bR2AvWbMXnZM2TOKoo5uq2udBqDBO1ZRwpG/nPXtZN7Wq1T1MslHRsp1IvpBTRzUeWKxoG4wW/xQ
i4etN4aPCOEXHMbTjfpBROG1f2bexPZp1h8NNmFNGx84BOUxfkhmpx19VI1Ig7DmeMUBn91a0+eq
7yxXlTmTyOOd3IBr35+ER4Ni4BZAn4Put7LaI8WPgVoJ8az8XtNv1EE/ZBFZIApb+F1nbGhq1YhD
2gfClDr9qaJ9kMmmR7yAdvo0b2zS7UqzGRqmdZCTgbM443QOjeeHuX4rch9xcPwBB2oRqQY4ITSd
FP9iTGZF15EzsBzXgy+Rn8wSbROPt9csp7K4YdlUeUyr5nCQb+Cd9PzCEGVQlhi/MU6SNYN1LAHi
Skfknel0dRaPZCuoCZYmZrWp9oJNCUi0fNHAte2xmWc0RCQ/CDZFcQaqpA7rZWCWp6pZa8POc9hK
RLOewYDO8wMrc3H05fIEPqJiRaweQMIpHqksFStXzs9jeNJKBBfkof022eu/MLUaz9hKuUjj0FO4
T4FyXGrWNOsFRl68zYvf0A2t0znrbK7dfDtZ7vjQkM/1Dh0eHRusV0n0M21Tv839TtyRu8Fg3m8h
h08qaA67KA6Ree749gqPVIKEMdoQ0nAH+b7PINc1j8Jz02y40so3xiuugEnENIRiZNNbp5zlEGEC
1UmNXctDvDSC3b4PK4gNKIDJO5qC7DBYrUyO+MuMfYUIDfFpHA68YXYcXFt+hFqf/Q7TK2s3WwZU
/VQkDnVHFunMGNDMJUipQDgxe5JfQi2fCcpRTkSByKELDOt7an9yUFXCle5egSz8sQPe8yR9YHvx
VMNHj0HMRdQcOlROLI0ZkNW9ouJ9o8pOaNJDTUW6C9St8WU1Ehv+6L2WdS/5BBtG+EYWWzdIh1r3
kvr8YcgWdRPnjwswYoq6u/yjKneTsVcRU5Cv0gM3czBtZoclvcRXwWNt6WlcXFsWto3HBdg1GZun
o8iCRDm176Rccl0zkbJq7R71LS0LfP4Ejot2dQav8M0tV5LJxmSFrFzkuUm8SbgfaTOwkLMQ5O+o
fE229Uq9aaYej/6B6tB398M0ZRD155ERJZwYTDi5EaK7lGxlgPxbqPn5aTxRfKTZ2RJ9gNn3g+Yu
muVtSvck2ogUEFm65ALAUFscPFyTEfkBnk5LbKRcq+9mRO+jjaMF72B+NomUfK9xPlrYoPCVYSb8
ZeIkfqgFP1I3OSHmPBA9YAov+peRTre2TwQctOygnEk5CfWBR2Z23i94MrUzOKNAcVVGfgJnprdJ
k3E+O60r9l5r/dZ1RqH3HpZF5ScoXPgJ3SMSXImpVNi3XdHOW+InDXU+CklUVbENWT3r5OJ4urhJ
HfPpEQvtJjrfFybIs9kcfVhnbhzj0dL8/Hf4PD8w4VlEQ8UHVQQs9lQSLJ2G24FCALNuLsR2XxwT
hWWILzjzr5Ai/SMpT+mhYBq0i1ehJw7EDp4CEF9UCWGNK6Dv9Gwvgtej/z/S7Llqjy2FYdVNaj/v
uJM60W7rD4Pxp/4YkPqARnfyCA0ha1jMdY72GFx1hKS/oJznL8GHilVKgIZr2sktPFHf1R5X51L1
ZVY01nZV7Y80I2/kcymDyzAmfQRHC1Wj5MBERiDtDdskIe3og9MMMoQ0PfkYAOS+TXvGHy4FAyMp
sUkw/ra1cSQ9Abai3QCLuMYaDo2nJXtTB6+MZj+K3hXeABVdmzSfXAUOrSM6OEqt01yy70Vx+2vx
Pn4g5FlilxmYUfIw2exfj7OLLdrat0dmZbkg3sNuvvhvdMku8nP3QCMGgVqKQQCZxXCxhjOyh0B1
VezAjBeJJ5xy2Y07r6bShvDgkxGjxdQn2tjsa0q0rVPIXutox2oHInnPsRtrLLYfy2Y6aseI0c3r
jqHESDi45CGFn6Z/CrfLU+qlKNeIt/BCjsiwaw3CkT5QL7h17cXGfptUrJXZ7yGw+mwF80E0VjPg
DmTGh7WRNoyZTOZe/RLiGzrpzxRZPIy8SCxUjR3GXuaqfe2GTQCQeg34AX7nFtYGNRdiYaodmLSg
Gru6YDfZKU4p7qeHkAW9dREOhznf0cbQr+EBKP2z3G/rxAUonbhkO0YXRlP1nSiYg0bM+DZPPWWr
uPmjJTZ2dIwYzkgptYWDdpFcKt6MCim/NpEtRK/zExc7SZsI/97QDNL8cYP32heRuKp+SSLEvvLV
Y79Dtlw/3IKz5kZH4yJQUrCNS+mVBxGzyi0GLupFrELlY/4zsb271KSrPsVettFHUNlv+nv40T93
oitG+8Stn1WO+JZ33KKDPoroETrgoTbT6qv0qIV8MafnUj6UJj6dGyeaDCJGDzt3koLM0A2trVEg
IgolBostvzzh+FvHxNKxGPPPFSaRneG1b8kro6j4Tocs9MlqhyEbJ4zfh1JFh0H6tdfXH1X8pMcu
d7H0WKsPM0QLA8vRzpR+WHWZzZY1gtjswI4XrLpzZLhUQ0X7na0Tq0NWCAKkSNZmJaKPZiK7OHxb
/wu7myOecTcfTY/MRy8EMbVDsJ8yZh6gtWTUVXgvEPN1he28DUMFmP9xfDOQILCmNV/zI7F6iMh7
2DfNKxqFMvRU2KWiHXpgnmlmsauipUOrzUQYZM/4Y68gQ+aTbDkk7pQYMrBnFd7U7TDGYo9pDH+U
uFuTZ5ab7NDntxSEAjaT3saSaT0s0pVSv7gr1j07ShKPpG72acz/VDOE07z55CogIHC1J5KR4M3J
R2FzQ3QeyOHt+IvWH7smUB4GfRM7fM4G9p6G171aQJNty45femMTFlv1VNrB+zp6h88drSFb2Uxv
6U/82n/BDCwpv7vSt0b1xLW26YzI1wEKI7bHFInpT1YR3o5ignHcOiE+zWuH++JHx8yc2qgLWHEc
pdqlLU4DSm6PlANkyiiRV9vZjjYT+iDKByiAWCEwyqPoqAQ3eatuUeq0ROra2tbcsci/LfW+dfJH
4AVSsgmqz/IKQcQgJj09oH+iOGSdowthR1KxzV4JryHz2SQj0rCDX0kheShIzR7sHspTDiN2smkf
v/cwx/1QWXcv0csg+b3swu5OHgVkTGyfrfq9eqGk+t0lV1Zagp+rD32HLfRslfCWKAnDpSiXLUNH
uicBKoB/MuzGs/RqvveC7dc+2/sjt6SyGW7dq/4eMYrSEt+UoeYwK6ECD5MHEh6w8/hIBfrfHAF2
gT/5WS5/axrHVD0qjxPriWfk4fJwSj9l9r2ht3CJ4HzYxNyDQePRJICoUbxWX2jTv62Ttm/Y2VPX
uCAXQC2g1LeMGxq30mBPHksVGBprfWSMH6wzDGV8SVt42KavXaYK9IwT77u9KP0Ex+4rfq5eK29d
lV2Cp0LZht0lrO2A8MQpdfXgd92iPNbXwYApKYs3hfxsovP9DYqcCL4t3jwvB/FmeIKHg58t+npa
2DL6w1dnLzbQTPSh24im2wGw/3ZCi+Csx3HLSBJeWd6erHNd209kJpxT422hjLYRVXcpBhvxxu3R
OmOYWMFD9FXfxRs1tpdPGkD6Otq+RK8soRLOMi9rlIx0xGfgB2QNABWGcfbVOAMppy5+URjJU9ui
+GkT4ME+3s9P2uv0C9xK+aE8ls/BrsfQ8Irt/okr8XedPAxFTUH7RQ33xuOTKvDZvuEXPUu2cQYC
geVQOKd74Qw6IudSCB4yFx5K7Q92T17BR45k0cY7vB1kTxbfIJ86+p7FGdWNVL5ivNmm466znoxS
OHZC+HB30oT5xN7//iUcb3pBzcwaUjSsTTiSiocyOaVnRKdp7gWDKIOB1sdIB+j+mFXHhwodj3+3
b0VrwC0SCQoyMuxkRv5x/sPYdf9Jvra5/vpFNRzQPYhPnVjkzt0Mdv+tv361UxOeaU61CLUl3od/
/H0qN9IuHPexSGOnE/T6j3/C9dv7Y0E1skSPTO3TQjOEn5r9bh/97Vf/8Zf359BKOkR/PVvZELyc
pe1N00zEf03k0ajdBjXdovs/Yb2+xv1L8IdoFO9f4llvJc8Qi8Jvp+jw168P/36bfz1GOHD951Pc
H7z/Tg4hf8tUA2nmXy91f/yvb//4KoKI4fzjJ6lKTkTdMjX99QNcwLzI/ftyZF0mVRVO4PW5//by
94+NIjRkrzxzW7UhC0ju6byyBg9lFMWvtYYbF/NmqCwKenW+SwYyYDQj2tDZF31ZqU8QdSnDJdSu
FuWJ6CfWo+Otlaxtj24emrOK0RlXZo98otE1MF1M7XpkYjQTvsy0O7Wq/EEyhD8X6ChBS6eNYKGr
VV4jpRkdhZYFMFYEIyr1n1mAOo+Wt3BECypenJj+kEsSFeNB3QyDtBUbZAVpAGpO0ZDJRukr4SeT
A0t4180NGjzxqbprfdJh4imnZ4W4XFsqk9s4Loc8YHmGJaUYZjeRtnJieZPK2rJOH0h7C0PWKVQ5
RjZvmmnthHZiqZjgwoX9v7EamLUReb1tDqjXYOxSwoflUzTVvdHXqIsSYY9V+rmKhU9RX64FwfNB
+DUO+BiUgn0zA44lX5amKB00KiZdUg1cXN+djF6iAEqGeBAYHxNyUWciUQipGZi4hlyPkBhhkR0A
3VdmEc16x1oPskmloAM8laip7DwGxu+5m+BlVPIvlCQnMTTewhQJq9wvsPy/JWkfjtl3MYI0h2HK
IiAiAi7vf6LC/KKNXBx6URn8UlwiP4rjTSWQLIM0UdPYTncyMt2ueDVmEMSdROw3bP6aRJ2cPssS
HKdYfgRK9DDDH4nHBnVUQbwDHSFsJyBvNnlH4ueosxZjuAfTykGXn3vLH/ARqgtQbUP2eg0Enm4e
QmqenfbBYfpqEf1JVnaR5ORLZbWVTSBxFikkg4yYD6oeOcdMSaTfVdJ/tSFA/GlRWe0xx0MpI2We
ipxx7AwJiE6jRYdoMe2gk1Qepldn1Qph0NO1Div1e8Gl1gTaY97Nb3nVUAe1cFwNSobOqPgthTD6
ol44jKS9wxQttpjoiNmhDKZBPTHVtU/NwjJJhHkX1ckvQPGqbIhumI/PlcnsOncamK+hnXZDmhwn
9EArzcFtBXhsuZhVZ+Bc7wsoIreWTcEdgFnYufwy9URWtPnykeL7tQnFQyvTNi4yAMFFG/jOXp/u
U+hAbiaVDCO3pai/uZI8Sepe8AB/dqRwBnSlF9CEziJOz9M0HIYMtoteo9wd8tD93+ydx3LsTLpd
30VjoSNhEkgMNClvWIZFzwmCFt57PL0W2Gr11Y1QSJorooN9yGN+sgpAfmbvtfFsj47/gI8e+PfM
BXIZf5i9cRueKxBQMCzBBhJDsC6Mxlj6ofVktmoA/mt8lF+CKFQIDN2eVN1FN5SgCZ3xaEjdwz/C
P+6OI4cXwa3AvfHPlMO0DuRBD7TzJLwNCl/vjPj16EbNDxBJY4V//wEi4xNq8gohJurbsfRPUyc/
7Az5woAhVWMjNqUuKbUVEaTOmH9HY7om46olcDNXy3g6I36+6CVcMr0CoGH53i8JWNFd374CHWXZ
KAgAA2C01k222wGxLqjRXRKE09/K8ZaN23OKK0LRPEBuXUZB3v1a9fSA2pl0PQKNFp4XEg2cR0fb
rl9CAMC8WX2zQAHIGMZl2ZGoMl4XzwkRg9tGTudC054D7s2ZQgGEwS02usZEJhR75Y/sKu1w2bbR
+9jrL12A/MuoGn8rIM7MlDHMCaPJeGgMlh5YILO2T0Atj3Zo1HQ04pwGCZVq71/zn64qvslG5bZl
AZkezGASq9ICBhRgYHWg57Y2sQpGlzBrk8ZcErJx8cbw4Kr2PZ/YfkqNsafGs2dXJUT9IJe8Emv2
Lov6qcx6ggaG81QZO1jiq6GN2Jpq4sVXDL1iFxBaeSX2c6sVxZVkPWYfGQcD+XRi4aXhrzU8kAFu
ER1jY47Ig6thmTHS4ISJvIiXkUsOtoHCdKnJDkWXLSAyxc1SdMmXlkPnhzv1a9mMt8qk3PtW/Anm
sSHHK/hUFSA0pMF4ZD1afp7fSZkDTcV/hSh8MTrNA76oX5A941VvuPon8mY9i+RepNXcgVOcb1LV
EdqdtNE6qsvXeCAsqm6yi3k1mYRoBQqW9EemhrH8ti3WBWXwljSfdjBxqwujX+QjxkAdWBhCfdAw
9xq4In8o6zPq6llVykBdz0c6G6/aeX3CtqYhhjtoP8GqkghtzKuueVZHmk2XJqSz5Bnm9bF/Cu2p
pjp1L8g+DSx9AS1szLweATvUpgQwweA4W5FbrIEhQPQ5E/OiYQii0PaS4nU1M3ZfSHGzheX1L2Jw
x0VoEWcIx5CwPuARoStfRCWo2EXGVds2DEKq+BEQxlfeBeu8bg8uDkefYW0hqZ4A7wAki1EQjLa8
MyMm6Q3dZ8BEbJ2nEXojL+n2mQWPvMdgbELYunNMj3WTYM2A4xWtyZDs9Fh6J5+Ro0vsCpkK45eb
MJ0SNSOjNGVE2zHQjxX5Mlheg651+W7Zk4B/wjELpY+aJ7u1dVlvOgtTP4gblBPGQXgTD8QQezZx
jgu70qNliDhsXbfFlx7b/99S9pM1ZBH+nyxlhhBYsP73lrLtT1754f9qKfvn3/mXpUz8Awe57lqO
gOoMoPk/WMrkP2zhWga+Mdu0/6jN/7KUmfLfbGfxDwxpFio9qRwdzMn/C9rZcP4cYv/RQeY6uMf4
14StW5aBjQmH2dfHLcz8+r/9F/2/ugYscC9XyY5gtJ88Kmek3wJJ+a+LHnuYqX8tLN0wLe+A+0Gt
wfCluCwPyaSf8MEsHICioFOpytIhpl+HFsSJIPxdr1E8px7W38pF9F5zM9W9fo9A86z6es7EMlm9
KfO3GpFwm5bzM9H8CFtzj5HZhZskYC2dR9ZZ07p4VVsYMPUB7cDgaNmmCsqzGUf1GlVhse4lO94J
y8maQ/qcGq89l38jEzxsUYTQJpdXjiIk4rHEo2TWJy0dFUhDqgv+ZrckH9lAmWUC/mE8H8TGN9FR
7IIZD9dwDAUqYYTw5yy3EC9AULRzQhKiyd6MkfiwkuAKqrNb1DW1hMtiduqbZYwrBYKxInelXoax
zXpPz9Zq7HtiGqROBKtFJmQQPHRwR0sPD7dy6b6rUH25qaBBHYK16CDCNDXFXVcyfZGRvJG6yLdb
PLVN18OXOuYZmjSrR4M87zindCQrr7DSNYGAFt5ZqAhABu41IsqtRLuLfAbb0tzGoLZQw2/DQd/0
uNsWQVJwwlLU8T9jxNBl43qfyn2ZMj7itboizH5WgRsdPHotu2U/AuenW1cNLUAvWBphDl+2VUBp
YqORwMy/pDAfFoOhvgm8PFexBq7AY2V8yAVx5AbBApP8cg1vl2TZS+Yrrgd767fyK3b8fqk1xWXk
x/Km6uq0zYuXWncYEpYhuAUGW/DGIgUgkhQoAk3b+0kbk1WUqhsARmThghzXHATmndG034Uzm5na
F0K2Z7iexaJP7ewatJLpGuu0tu5AeM4BqSRDjtWWlvGnScaNcgKLSyG+cVB9e52LcyJcdyWaenNE
Jp6nhyZjvDsMZG+PWOeOvTviMNHdFXRTUINdve/AHBEMQtftEZYmRnR2P2PrGasB683anEJ4fhad
ocernsRNuHF0+sbCKkBAc8twXp4KlTN0aZnFpxnpbbW03QXe6VsURCmePi84tSLaW/HYPiQEHzVx
uePBkt735RHQSnNswgE2NJl9Gst0swY2NvrSQ2jmvYLBJXRnRovAk0pKJHMq0qyjAnrWdaZchhrS
tahmue2QwI4Vhbl3GGoITQ1SaFtQKbyZpUe6Sd227lq0XL7gLh5r1Qb7AAQIs8T+XV+Ong8vFMPH
MmLS5uA8OgH7e880390TgfoUDZQakL82lUnkWT9BMdZQ8WCcw2YBblPvprcAXPY66Kq7rLHGTe3R
+moMZRrLuuSxooDoe0ZUQ7ujRNXWWF+DTevU950KxU7/xq/u7pvYlyvdGGzc5hTsOYtrd4ztY9bM
P3QxXFUW9Rt97FA6heXOx5MKPZLBXxK4TKN1jTVfjR4x6P2lFZezks2cHkmd4zIKPkN4pctiKB+G
UcUXWzDaDDAsVo4siMbocKcOZr2KCHHtG6lRBuL6t4H1aq5+lkW7onzamG4o7yrpf9VN3G293Hju
q5ANbM8LG7RM+kqfQRt3hbs0LVopVfdqk5olNswcGUpX9mzm6H0Ho3hLWkfiy7LaY0KoaTW3QcOX
NaXho2Q4OelVtLZ7lvqDzhwId2q5prZ2lnXq3PUamDqb2E+iUalDtfg4g+TKIt2kEyHRVbUudbw1
BYSRqOkc/vbcGsyhrL2wlkQjkwEX28+NZTorcE+bDuTqojaoypqguuU+064YhYIo0M25PYRizsJj
XcIyJx69vFC67Go/eyKz3NsQmrSlbM6P+VjvrSB85wBFyjp5txCxsqGD/xJlswomkym0jRCht2q2
IjPjT5uy9BkW+YcjhlM0QCXW1axzcr2vFF/ZWrDhUFkVkEn1qUVZveywZ65tPIlLfIhPRh09w3w0
N3UWHglMGdZ1SOa6K/pkjQX4orgMDJttJujLpWuCQqbVGynY5qUeY5SNMbZHBSR/03pes9EAaC3C
4E1ThnEdI3UIRmFt3A7DKdZzRu318AbDKj/rjg+Upjn0LiYI3FDjClhegKBFsfsxtBvANiAcvrjA
a74FPaIv1677V8uo8eZWzq3LJXBLlPRbPQDhbTp9sNJpFOifwukp18RVlelwHGIVryjU020BqCCP
poAss254DQodxyFRZkw+w8NYXLN8StaEVupAgLwa/iGviMFaKJ68ekvCWX0J8r3hUUGT1+RuMy8/
J5H8aPEkslfA1mM21ZsETDVnzwhaOt6/bOzvWr8OLh6OSsMvpnUjOxhFMv/krLFfJgfAmfGYNN1w
ZICYrTPDfegyJAOGql7iKfnqTGJdgtBj9Rm7u0lNrO9WLsHt+HDoPSvhfAOnoPS37dcoMOaiOTr3
Ll6G/mA3U7cNTPqB0dLiOx9PV16M07Fo12avdbesi4glTdyLQle/Iicg2ro60ZGKwxiDe3xWkYVw
pmQ1XFg4e4LxLObIulartEfBDU1WS/MWOQ5wi1JkWyLJm5VQ42zl9EnonCQZRIkj1v4UaMzEkDm2
xWivZZG5q9SugkMbgRKPm/0YETY+VP3WzrWtx1W1rybOQLIhwrOdJLuyq/bl5FJmcJwYyrGPQwig
3n77CzbGq/wm3KQ9G/OHUZQfitkiIwq6I2CHRlyA2UDqlWLkBo6LQBN66FLM3f+oCgLW85RXxjVo
qYs02QJ/eY/JUkBSk8/nUqItBtXay8J12OPGQUUwjr3WoO5teyHElp+BHUP13Aa/dfM+ug0YZ7cm
g8kpH33HcG9Rc3SZhSIfYkmXA2NbGBjV11XMfqAf4b0Vth9frHTLOIvMdGC1cM3NYuFRighBnhw8
SQTcg0bfiVffKpj5Ow2A8dz5CHySMPVgfo/jpDiW0UOIzd/zY5Avhj3sDZ9L0xGYNe0i+aEccuF2
lYigYkVQAgB2bH5AJ7XJeKmMDO2oCTPX1FBPNA23igWGpWIs1OCxJJ78gL+l+zWsDN/6rquz4NVK
Bx0ba4hWoZuosfIZxu11GtUXxBLqSm8HsxV3itcXG2BfMBCy+itSpr8zC1nsDFLh+3TchT3b31b2
p6Q/K90ej8JL1f18yRCRJu+H7taX5CqXEwphzW4YrGYT2jBvPLhcbOiVQpuRQsXB3CW31rRZgFLd
olT3T4NDqQ8JactMMVnigNW2KPxCFg2zLC7LrlXG6l6xRHGa+poaVX6ZxRmT3spdykhcme1jbAON
qMaCBF+9xAAdOKCyEjbWkjH2Ik8ad60jPlgykcfVa7OHqZnEcAkUn0R5x8fBBqfUA1fEqWmItRXQ
hxOccnHt9xS248orjGQHnBjVRT28+nlxN6bGmzRnJWIfZMuoixEGNulSCVZz2sgh3WEDXSovs7DF
cRQMAiKlGi55msERILcAqAQCnTTeTlMEeD1ZdTrmGVnRyZPEMlC6aOAmM+ItQZuCUav3WuAh4hm9
k1ZkPyK1dmX5TB/+6VTQtLKW1aixj3v16fX5T9AMLBbeGCtdxnDcTR3txnPlym6Zf3Sh3GvkkYIK
3IfSPVGbXjRh7T2PlBCvuQxDv6sCpqcOC8wm1k4mRUSLCU2Z6bzN2oxBD6JMLUut3mroCRut2Tb2
9CzJ4oFjbSDhCxjbzVTZadpZpryZtUdyhON8ynZaKb+5G+rigT+osZ0PNoWBlju1Hzlpm0UY/mDM
7RHd1i9ebW6qFuFYQJ5YXKIUbJTDKx6zGmz1U7EqZPk8/yGjiJ+UdHfDCPcu6tEleHcqlcB3LP0h
16tjbVjBItSRCYclJ63pHpPRvs9HxeDO+W2lu2b7gFqSpOM5OK0j6b4T7aYAm1XiKVFV8dDkUCmq
e98lsbNMHxv/Kol11nSFGweVyTz5ta61aYJw4z9YmvVOZwcyuMh4+H3ZseqJrOQZyOlu/u/SUC9i
vT71Dmc8mylyPx8A4xfLTs82vRYYazXYzkL0iF2Y3iw0hQ67t6tlVor5BkFumS5ht6/sMTwSELLP
c+iagZ/B0Ap3Y2OsaD32vjkwUhaMgibL3Uqs95MRnlKrbr5yi42GmqdW7nMHd6rJ9Lehrl97lL4I
sga9/GCp8ASqv4bu6ukGU9RiM8rhS3PH/aTeYXK8eHBMFkX6mLXhjZTudzjHZ8bMCyz3pCyjhBmC
XVHnn8xJr51hnOyKggXNgbLn7BhnfMgGlhAjKe6ab7w6mI7t0dzhW9+n3QPbgHVLiUNBv1YzAb+f
BSS6s5ZZ8ii7ZBdcCqyEi8kjdz01x5VGXi5Dzz0dWYIIlhzhKGdyGBYMzInm3njVVTPSa+1xpRRg
ESpBAE/jSHBag3tJD5Ka0smBE9LpHS2I/ks8khI9nnbrivmGNK5laxxsHUUJj4g2jzEJzM5u9vil
fyOzjxejGR5SNT6qKb1z6vBgx+0magzMqPLcZ82c/3cR5XipDIf9cq7tmBWeSwdVAW2YHWKd0+Qd
o4GXDqWSZhPe1EvU0JZ5SGvkELG4R9HjwM1ZOdhlI2ndbK19rePuyENo2XX1jzCR0WrZyWWqDUjs
zE96Z3FKz+ZgoeP4dMyzNqqztMqfeHis9PRaChx3JFT5E5IjUPgkLFLfLeAafRd+uTJN/epCH9Oc
eh860cpNwUm3XGkdngqMzFHq8QpwpiZpeq0GtfNNa/ZkwrqxxrcuiP4emVmCAjep32pN3GwVfIgG
cQLcVtl+5X64hr3/kOY1NJ78U5hyM2rtqurqR2VsA0BWrvLxGHm4zGm3iKhQVnifZxg2yuCJ7/VX
l2j/Wu+dOaqrhnenQVfGA26K7TWsjscqsb+bQCAbMtRTl1pPQq+/3Ub79BvyYxAe5J5AAujeRXoO
8OPLN9KtiBCTzxeLL6O3PCo+GkXxFlhnIh4IjQpeJXKLWke8Iapt1Vn7gWWJlRfHouuRfvYu5A7J
bT+m9T1Wb6xg46/Rc8s5pXjJBuZTsZwr4HxVOPpr06inNJYo7t3zQDGRFfK1N8sVzzTESd25jU3c
jahWoo+M98Rz44c2D9aRK+5Gi9gPz822LeRMDRpQKtsHHhgzpVFfacWANQovqU0CSQz5LA22tVnu
RDNuIxoLVngLYtYfoijYR5a+helygo90Cgj/k+11INwxm/gWp4XD0rbGg8Rjced0JQK2khmCVh81
6905M2i8wP9G1kfELacPyUFj+ByWs2AoaREZt8E3LL5N2VmXMIb/TcMLHGCQrOd4YCbdTle4i602
vpU8XdN0zkAEhTBqw3eawH4MKmI2lKsv4ihjRtLfj1nF0y3WHiuOTXYcxWms8EAKE7SA8zwVXNVj
gYg4FJtqDPa5bp8b976IMERBtF7URfZW42Z3ECiz4btO0B+NGO37KG6AJ/clCnmI3S/ukN+X8P4Y
fMGTTy3UQgmLQ2skhlgjMBfNMBO5iY6YBwfTCbzCiHiKHop2U7/ruX2vx8sp089ZmFzSBmWiJrZ6
01+yObJRpphr6jW4vj2yjJWMn6w+f8rsAuxCd9eaEc4chB119uqO02OU6g9WMSh2E6diQjXTewbS
/hJ1VxrREuWS/FscUnOhV3rTNqcNtOxdw8PEBlFqkFvLOGflozAC8lSmzWtgbgdw6v5g3aSJTN7J
XoP0orGSjixOXLo/4bLUIUelQmLbmq960lImW8eaa8QU9qaU3gFq3KvooseZem5tfZ4R3eCcGD2e
cXVz2+f1c0N5XoX1u7L9EwUwlVaPfkyuss6+lxX+wvnfysR4FzClyEbAjWBQ7w17lTr5d+W368j8
u/Cd3t9ROPGukM3bS+sHYPaMA/2tDeeQkUUTT1g23fEl1vv7jp8ORzhG6OOAZEiJ8sePUb6NBvsY
Ob3AHTkNwDmSyaPE6a627fC6acVIiY92kow1Zxju5verbPO3zu6eXaN5Z50EgEfiS0u2LYT2sLgZ
BVHMhMIbnMfVKRu/E8v/DSM0yiL5gPAUYrz4Cxtsb15MK8zePVx5xHzPNSLMCnMVZPxpdmdr22qp
6E3v4mvOQ9Z797rRHFSEzD0ayokKK39oqofJI6Z41BeJpnGQkuFuDDVa6YzFTriBpoShzQeLIltQ
rlnBeBJIIJcA082pBN/Nwr2ULQivXqzdDB4uDfpDZEGk7C90rhRMsyPQGe+Tae+42QNoWh5X3fRa
za5CJy8wXvh4m7KL0Oy3xsghgcKmGM30G+TSYWh//BIJX9U9J51twfzXWL6OybYncoxhD3PTsgWu
rkXk5XrMFVqV6ehXWogfPo4a2zi3s1Kw6fJrXnennGv5kEga9Hgg6C/s1MGSCOzTELUweNuwzMd1
X9o7Z2K6ncMnzSPqI6KmfhOYLZgPjF3tTuhX4bTcTTw/beBlC5nVGxal7rWx0P250ISg+6BfLGnh
N3Hho7uW4OIJK/J5qo17OoAFTPvGdeicG8UyoX4gmA07kfKDtaz9XWtjq6gD/5GO4HNCVLMp6whP
ZMfI3Eda7VTE784wzpMRIMDVS+sxst2rp5fGtrfMq91bl7rK0UeY2nPpJsQI+v7jRFCF5WXPnsR0
J5u4RsHVgkJqSguVdTxsEzCbOIZ06uYM2SiLe91xg7WtV2zk+5p46gTqN2m5BtEOmzAb9hXnVmXZ
r1Jj6VfT6oXUckBkfUSA5U1qol1WRdQgYMFm56fVJvVxrFU1/ZQykIEj0/AXnXK3ZVnzCoXjhjF7
c154BZkIblDuqzmdOU++WDJ8VD1egmkJxu2pKiBkZqHaZbM3JMWBaGja0uKJNsZbM5Qk0zjIKu15
h0NaLH/WDZcMDVAHBgDL/BxjXJFyB6ftXuombgOnsPZxostlBLDdTEqFiUNgg8/HO8g9Du8GbCa3
Jkzei7x32VOeIs8j7Lyu5DZw6DkHLiUztoxFbncWNZQDWmzwUXPa6VHm8UPSJj9RN+2KxK03BKQC
nLYxZCX2NaiG31QpjruXNM/pAIhBSswnLbKec+KlcGBprL65kquKtUij4KqN+myeyRWaGwVs1bcZ
bvxR0Z1NEHOxVVOP04vjKW3hArDXHdI1AqhrFJmPg54/B+Pat67VVBydAndzptaxziUrO6h2JLm8
oaf4nqytrdKdDfQe5IyH64iA0Dz5aQUTXhQ/re7yCkofLddAZmGPglyT4741rGPRlJ8ccSfRj5BE
BR2uVfWkSNTVKdcJhzS/sCwa1nVSxWdKXFGrNCycHQ8m5Ufb2Ktv9Ncztj5BuzyPDgvsFW5ASLmO
L6NgH5aYAVIuDRw0RYLcJapYgxhfCWBXlm8uyDYGDBBjBzb2A0sHixTTfnAeO6t782qEQOSITUW8
t2yJtV9/8kKbeZymk8RWSmRF4blXLSYio9kZDbLpfvimrWJ11SYfdpytYjIj8Tujbhdx9qa73V5N
M41Ov/VR+C16VLJj+eBH5qdRjafIi6m1suFLDHIXq/7ZDGlK4AgzHXoSPaePWyGPeDE7K9h7nLx1
Y9dLizuZkTSoNAZ2IG0IiPCZy2I7U3QXZYxtilMx8kx7ERnap+OLQx0VN1llS4Ygi6Abziy5Xmym
hSh3h58gqO4JOkp6dWOHglUQ8Y6GIG6cqgd/SB6NFMWN51F5BPd5mxxl4xVkgIk9E2aYwA6WE+bV
GTHOzbLQyE3JB1YhdrVnOP0NoWgXD/6BLmnlhGQsuGhpcpu4yS758Knvl5Yn7/u4J0Wk3PgCfaHQ
94Pd/yR2DACueRVCXhqtatdBmjz44TK2o+8x+/ERTMiMutFqGKdjiyWj56S5uDxMDfkeArFhbM+V
7rr8IDhcq+FDtwS5rPCmiMnEXU3awdLu1ENNQKrlFB/mQKvliok6BipFNw3zxXnye2x9KdEjgDCJ
HC+KHy0ED8ZOsZqMs5UH92HjvEEif/IQu0wScmCah1i3e4qRCmSRll6VZlWLtGqefWCFsJq35RNK
XvzHnVqC198hAINzMOQ/SVbu9QF9INbeUG/YyoKcdxrif5kqmmwpEHhaNuQsTzjd4e+DW8X9P3/1
96k2f/qfvvafPv1Pf+3vb/zz3wvrbTyarJ5SEDyp/RBGub4REy9hVRIu+AeHcWdoDOGFaPLN6ZYB
h1lYs1b4j4vz96t/f/i/+NrA8gT1G2MRpw8x9M6smzHA0IgsAOVrlhUHReD6Pz/8feo6Dq7T6akS
bdccI9/ID4mATQ6pw/FXMkiNhfAKWBR/QJs/KI01EJNOChrfeZE6/0LVTI1+8SzM8p4KeSj/m5yj
hRBv/j7VQK7ntmeDYXebrSjgd5CRCVRi/jb/+Uu49Nnh7/NixCDYM7JwioqY+lJWB0JNq0Or9//j
w9/X/j79+w1H+R3v+//87Xr+lZMgxeG86GfibC6YWfLFInu2hq5howkqhw0aannL4GATPQqDOCgP
rFPLw9+v/v3h72sp0SZ7t8WU1l09rf9OQB3tsRKuAk/Fd4qsoR2RC58T65uzCeSbAiBo1gjOspW1
iwHFLVKGb4ngEadqZlVG/xM3qqdL5YOi7wFJWR4LfRxXrqutyUwC6CczD1wYbuM41r09UbZksxYj
tB7gEZXg4Tp257jCPeFIh+gq7p+BSDHd5xCkW17kA5qlbkwOHU1ANMn87BCCuDTqDrFj7sZbcIRa
Ev8KCEDmgEbXbfvxrIbppqI+PhgW2coBXiQxlp9VFJS7LvNieutFVPfZuS6LFvdt6fJEtY9sGQA8
kIWVy27vlJ2HZQ0vzWTkObcbb2aOsHVDCnRETYoj0ldafc7HFIlmjZU+McRe68W92ev1uZPVSc9R
jUxgWAuyWcm8DhdPtpckaHZxOmSNee4M0zyPjc/dbw4HT7Mvk1n8OmkcIsKc2nMqScrJrFMVhvaW
C/saNoPaE1ru3cUACr3CXHna8K67jFFUYfzURpOespz6fWL50gaULPx/pAaPacHIq0qC06oLKp7U
bv2BxxqzFvGZF62esssU/uatlIuuAvCmmC5GnYjXjc27ImuPElc00zqGLnYOHKymQntkuzSc5ITq
LCgSViqM27JJHzadXvUL+nPnlDCRJmOZ9z3MboZfOoyyyvEO5LoSvyYjgokV28IukYVnxkTAaFWQ
1MfBRKmaTqsYASCLVOb9ZKOtxyAdzzq6wjFzx7tw/k7YPcE+MShvdFJV4YWpdjvYPu9KOzTEcqYV
J5GbnOPOeOW8EzvGdI8UIDAReBPZKKE0YaGCx2b+U0HGlRWXmK//vvbP3/77HZk6ATLInBfmOIU7
AtawEPfpC8zr79ae7nLIswsyfB/ICGCEVp29wMZY6yHDXRIy8mGX5o9oo8cxBc+SQj83iTEY9Mew
wTLcWPpzjoNjobnFOwJBxjcTU9lyuvVT1x5TIoEsTWD6pFLU7f4uZwGzA4xRkhxUmOFdjQIPiDDO
VlwkoVlVCweKayg6ucyd7sXKjV0XNzVOawPChwe+JggAo3jUqY7m3ko/wRQXBmRjEPq5tPTu0eWs
0gZ134c++6R+vJb6nLBgHGhvgXFiC1ONfO69/qTG+K2HJV3ZNJ7Crq96inRGJy5kx2qbsmRwAT+X
pH5EeIOkWVxSkBSsUTtz1blEplVx+FCE3ippGVt1Dn5QM0NxyPD7qy8pwpxUvLdFsU2d1F3ja+lW
mn5UCjOaN5m/kt6OIF8r3Uh/uHkhT/5xyJn0+TWuH32v21ev8wHsyXCjGaSr9/GkCK/tXlvbvFnT
bQq4bILKv7aakdwRMohXfvCWhgGWqMuP8JUGKsizSBsygns8CxNG1rLTXjzk3qzvMna7cb6rJDBS
j9sp7iowkta6j25SnnniP7oNES+Rkz2NVbrSRvOuLGG8tNK+V3qwL5roy9KvfQcDJlTsLHLVvGco
PuLcHjfoWZE5DD9Zkbv7ig3JVYPruSpaVmrCMI56vjFtv9hNvhevJH0eGpDoMk14otKelyEZt1i2
70RERVkb+5ZF2JDpuHIbF/1oNkfs4Qk0aXLMUOeizCekGWICwtCfcv/oUMXByEDvmqRxuWZAAX8i
LX8c3/p0HA+SAbtK0ZrMJCP3AdH0QOwBxtoqk/qx9D+6QDdeWsnARdaEnTv+npQ7czXG2ouunUvq
MzIs+41Vld9JqfOY7g55EfzqOs99R+QUiMnVpThDWE5n7KMV00IcVZ5YVDkNtIYtMKk4gYMaKA2l
ZG1CEJWs7AwigPHIt/qyGphEoOf+iFTDpL7IuG4kbZnLhtz/VrWdHQl9R6pG8wO618wvA+OEhTGq
nWNP5Y5uN7tVdfGEYuqzs6If/POmJeWmM0YcwZO/47lrXYmdc1LJUC8zkOvR8bMPGJ5UAXU5cUeH
2VnTbD4ETpZNyXi5wQ2xHksXKGAzXPRgaNelzfKx9NAFxrEp7+RHoJnTRtJR8nZfCl+Xb57Uf8pg
uthhauwzu4LaMVuq2dAvqsCF1dYL7m0CDBc2BoKBoUcwFj4bTfyHKXiFVWAWLjIgzPa9RyhLOnF1
2cBRElrPtWbgjc089jOVM65drf4yumzra8n0qCG65okUHHw9wyMHmM8X+kMgqZmNNJsF8rNjvy13
Adm9Cy/JfoY597SORtphnmyMdO1TJJHo5N4dPpqz5ROwzROXyVhdWezO0H7JQK0do3pvR+Fu7aK6
ZyyL+Ufpl5ClFLaOW0K2+sJkU7F2hX9jZ71jMqRgk2Dgq5tC7KOgmBYIw9KdW1C4qDmOOE/waNRD
fzDN9tcup+e0zzr+bfsgbeMOznn0jIkgsOpvf+geS7QHFGpIs0ljW1ee2LYRYJjAV5vSL5k+wzzh
aWOB+xuZA/v6Z6UN/QLn0uwzsX+IicGo7hBkOhjNZhDutyB6fdm1RGbHsfjySngFplPsrMxSMGHR
OKYJ4wmPljq0S7Eps33MT7asGmLBR6V7R83/yWqIXDzz8LRrhXEkq7zYoFuHRxto6hQooU5joq30
3nKWYvJAhaRhvBPQlVkVE+ounLpd+WrORspEf3AyZjUFb6JTn5DhDzCGuzPTl2QrW3Q6ogehU5b/
nb3zWI4bSdf2rZyYPTqABJBILGbDsqyil1gyG0TJEN57XP3/JNRxRm1CHfOvzwZRLImES/OZ16Rf
sr6H6dTiYNY6QLkGbQO+z2XSYPbM1adGnAA9wABxLD9Mhovv/fqNPiyNzgKi97bNHRZm3+OZ5Gdn
2dRsVWHVIl7S1B9+/Ajm5NA41nicgxGwPgYuKtLB3xzSsUij8/pJUkTG/S/ZzW4UoMnnA+FcPy4N
Bec8A1huF9alWLyOziH/ZT1gCFjuk6L/yE/d0RwjMBpmdm5DoBGR/hQjnS673MZMQuABh5KHWcE1
qlr4P7HRQFiGi0BvWmJYJDxZIeU+wxlx6Qt70/J5zpFOisq6OLO4n1EyRwOhEncVd39u9KE2gnEf
ucaH9as0Ugj45Tgg1R2Mh9uxxfO+NtydbIV/VGG7B82M7Kc+DGNgbqYKuyWE6o9CtsbWaySrV5GY
pxFH45uMMsg2mwSlqgHC7+weQt44eEADGFbBf0iSHMWiJazOCLKXZ7Al9U3PEsi4zr+gO22wdWGw
EKuHvoGvU+XaA7xO0M4w0/YM3NHc9g1QgTxm+LgmSLw4nOKzHZYx15h8JW1lPIAiPY+kJ4D2aVwk
SGBkSALfUt+mPeXM1ZnaQnXuzB5ER4Vmvm2XhBJ+Wp+Hyqy3VBcw4Q6xfhQTkoVlF951CdERTp7N
uXBbbAJaCEFeH9IIWb/0EtSFTIhxKsZZqULrYacK1KS8GSNX5VDbWU8YU3Gr3VM52eV50A8hnGgY
9G2MMZnf3zaxuV2vPaH8dF4/dTF7a58QRLVz81jAZHlu8KtPrearCE2EMOn5ZiJuDuXg3XYlCjxm
PZ4jB1OuuiKeMZb+scu5gNicPgpa8FvEdO+QKkbGykSHh237M6ZgLFY1lEG0E+GtCXnlQe+Xsc/u
aWtXW6X2JTihEGbOxlNUkzBaxO40bG/ccZyASqBa1ZjwF5+dl2Ak1oOZfogj5DCG9pLkAKENZODz
CsjlsBSMWkymaKclbyvG//8cdv6BDiFM17F/RYe4v7bt9WvUt9+7rv3ZZ+f33/ydFCH93yA2KUsp
x5PsNHAQxu9t9+9/GZ79m2tKaXuuZwtH8D/+Y7MjflMK8IqSSsIWWpkUv9vsONZvwsYWx/Twa/Mp
Xsn/hiThwYD4mSEBaNszfQ8Mp+soy/TxFPoDQ8KepZGy18DCHR+wc4aux6oXVfbeUFhFxArp/J8e
0tOPv/0/RZ+jslt00Cz+7oyaNWKbMEEE1fQ/njEr2BCXyaqO464N7OGGou+rkIBbB/zzAix1f306
+Tc3yIl823Q84TjqTxSQsAO111RpBXZr72RlsTG8+VItKYnacvmvT6VsJRy2W613L7Sf0U9sk8HL
LL+kiH6EOvKWUqkIjPgttncqDb/8+kz6ov/01jiTi5O6xxj4y1vr4Kjh9z1VR2o7iBco8NNtBNIt
ncDM/vpUFmP+L+eScHqU52PpZFn6Af90VyEdb8qd3BVJvNgMtnlRNWwvBSDTRMybUAbAubq1SFpg
zNV7b/Ae7LCmllLc//pS/L+7EiF8wdu0JPyiP16JN+TKgMlZHSk57c00uJc9ZtjhdLGM+TJV00sL
zyZAk+vXp13v8M9PG9IS+5gS0oca9MfzGpZb2p5VMoSM9DYxu1vhYZ9QAgnrppemJ84rwrukWC6J
wuupNOJr4zTgDEHuxA5480lJGnLp+/+fywLpZhNlOlL+eepSzetFFhXVsXPaGktunC7BI6KvA13A
VN233rwn9OKLBJ6eKaFVltnzjB8VvsrDO4UG2rz0+1GGML7+lxT2NxP8b1+TCxkLbLtpsrz88XEt
fdLPMeL/R6OvgeAOotw2PW1c6EE3o8OM8Dp4q90n1Djrf1hbLOvvhshP59b//tNgVcp3BqPPKoBJ
9uNo0rPsQ0jD4URDu5kuhOk8imQ6jlJ+iePXAozAP4yWv1lvWLL/c/d/Wt7GNCe5LbgC0iidnk4X
OSXXpQSWiL3Q268ftYBc95c7RhlDKcYlbm6CyPSPd1ziA6ZyvLaOJamCV3tn3HHfRhMls9kcsBkF
BY/kHPxwaFXk8XMETSZTI30h+9j5KIX05nxW/M6czWcfPXbyLv8E0GhftealovPip8NDaPYvjt2/
0DvDBOLDxALnx8lVWnDd2mG6LNneL8q7Kjz0Ms83S8nf0f+/lzSkkUsQY3koZ/vdPBMWl/gZtOou
LJZzTbkMfyT+k9vRxbL7h2IB0Ut/l7FCUSsYUORjQk3D+OI48nYQchNZ+GXo9mRkQx83/eLei+J8
YzigrOr5OrbTE6YeGyO0T0E53Za0UFB9kVgGFU94qo+oCeC+myNXgaYFAkF1SD4CzCVZLl0NYaT9
lvZIUHvmGX8TZIj9PfZntGbHAQhI8pa72Vspkjc9noSmtVkF9xAXz5Q+viq9FOsnY6aj2EQCl/gR
Sb1JfDXIUND1i9AKjQ84V93DaQtuRu7LmuRxJCPNun7nui34humyLh6dnM4RLDSkDiqwX3N+tTin
0/CAQHdewILxB+b5xYppdJv9ddQJqlr6rUggNoI3pUrKOBg7v9uU6Pbc5B6vRbfpINWc+oAFTD/+
wE3eMEXbidJ471KlRMUC1nxOV7qJ3jovvBe2hxPLnBuAV8xzMFRf/ai7cSZu1RhZetzFxENzeEj8
75Oq7BuXlmY0sk+IBdaOz7pY+ac6sh4reE83gcOVBGp5nmzFgF0uvhpefH855kBEonTg97XH7nOq
w1lZhVc8V2qys3pbxN9qWBMO6Bd9imIZIYnogRb3e32+eK4/twkaV0Z2tRfzDPSypoPmPUyVfPBS
82KAUjIc4y0t06uV5NfBIxm3p0sNKRtJcshn4bNdwvyeG+slUQhTmyD7McHsNkHYP6eY/4GhaAFX
+YxP8mVM2su7oTApfqjo7MiMvi7hxcIVbYqo29coh2zaOrkm5O8bdsdHGQ7fFQTGG2Hzshrc0Q41
Kmvfc2tnPbleh1YBNoXMq7v16r2U+5us4UXvu0mND1h8FYDflrq+jjhJjbNz53fgDWhiFghU2Eia
mRc9lEe9OQN/ejB6xDIWDYq0eDcxgerBqeH3BMPFbpJqDzKkvU2T+dWKi+bOmbi2HltFDkh5pm8y
aKo9zeGJ8QEyIrSTx3U41m74luiJu+SMA3yVPtoifPa6QmjjMfpqeinB0eVtlNPFz5gr5ZHllqY/
/e6IfcoyWIsxiFVkU/Met2KKWX507QbiCEw+mJy0fOYZYzliwnXZGvRWHwFkGieGUBU62EdldLu7
+WLpF7XBEvArSgtD7D2by0SPzetf4MVG+FZXCI+ZLH1dg7IwyG6vSa8GSJc67j678WmYmQMDw8UK
06sy0K4zzekge7YsfyQEnhS9fegI9mH9Dz4+WzVlyN4bLkrfaGdwWZPk0vFD5a9wFpLzbAvJ6qFV
teYinqe5u6NqVdK8bjwHA4ZmOptNbGxTP7g3e56Nvxg9BJOji5YPzSmxLex42o8Z67bho2TjNtM9
7cdyO0/iIjM9u2RZ8YdAYXU9TbyKmT41EZB6CwnHqsPfD1LpFqRTtg3uFxfHu9TgwVTAS3aoLqjS
GXHr0No8ka6b1bd0ndGIrfQ2WU4gxE1OK2kAMbfiA5ZRQGgNiIJde49tPGpvlMWptTrvogFwoDFV
/i6rktcphH7nFqSovgZFZJa5SwzmVRbxrNBnuJjADpDrYUCuwYvskze9HZh59uaG8oiNLjTM+dJh
8w2S0/xGufRdAiliMK3nMfDPc5/ss3Eot4FEi/THK5q7D72fo+ESntbB31MY36qT3RvqxogZUEVS
XC0rnXdWBhiqndP9XI/FBnrGTTQN6CjO/fceNuwO16B3NZ2n2zFIbi3fLhChRfAimyvE33pcwOyw
ea1RCILaFu/hnN11PsJbTW19kT3ww2CBi2P5UKPaTiBzlwBppdZm39ihge8lBr7gKaE6C2OnPJzn
42oRkChR6G3s8OSNTB/XYB7S0dyCzbBv+mShOAyzSUDPTWi8MTxb5J0t2mF4rd3GRYHaUofeI90r
lBKYhA1UVKy56BYOhO1q/l6rjtIf69bMnnkTDN+lCXojr3lIQ4qwHBAaEHNTtaeQx1cs5jXVGaYw
PiMpzZr13ZUZc2hAtKNwLm3Tw+tguHR5gwmBL65pNCtKSvBohwVLskYhBZzx2j3PuvKLD8KBuld4
49FxQjTPdEzkiOmrn7gkSX7ib2dD213ZAEo0oqjEZp1iMflFNNIYyzt4AzqWDfoI0sp36C8TNhgg
nbipxClfik5eiokpEAX9u6UYn4Vey12JMI2LbHbLFA1H+6NXdLSe9BLk9qj+J/Roogqopic2MXtb
1bqXyVPfcdPCsFGZr96I7M9SIKtiA/+lf+YPGwpc9OgTCu+dwpKM9ACZqfxEotnB9g/FBs+ufdf3
d6ES7rYLi/edrOKdF3TIQiX0Kh32RVQfZUlH5w4jIcBFPoEB5HP2uXpy7/oCXBdCoZ0a3hW15EGV
1HAX9XXOx2fLU+OXBFpQlCLqGM7ycwirwdu3nTG+T0rnjqYbRCvLjrfJGH9U7WCecz8Z7wzlntM4
CzAyTDAdApISVPF9WE/mFmh/tekECA84kvCpo/Jr7M81W02SHgpjZ8bWxafbCDcEI+cpe43ZSrfU
pyiP1rdzjU6xb2aIlkLSYkCjYjgV8QFMSXlTNzh5yhjW9CzmXZnK2yay781WAEVFEsb7vObkgLTR
saIP3XsH1cIKp+qIVpF9V6CXQltAPLlTAw2tLB9TSWfCNRSdxwpBoqFAGx+573hWFyueS/jQ1bZO
u2UT5j09yoH/DBsCaFl4dvL6XDs9PVRJJV9287CD4BjSVe2+GaN86AvYdbqkH9sxhtgVaD3fqZkU
6YuPNZObX2DHItWlQwawDESvZmug30IDIirlLg8GBYooenO9r93E9mH2o7WHXoRTR/nY2NZd4GFW
S8VZu8pBnSTeGibnI4g0wN4hK7kRpgRauMdsartj6kvm/+w7xyEHRj6VKMlCdd+AS/OBrLkYXsCF
pEeFOfEYK2hjmD4kOATQ2GV8+ergzRqWBPIpbFLKvB32baN0ad0lpnuMpmY/enONJG97KuewZ0ei
Yj/Du1B+85iO8D9cGKRbuOlbkEnouXoz3ijD8KmNmWnLAlA2G9DXsxXa6CpOAfIVR13O3HpeBG16
SHYtSkB1O0IlDpv4MMKxAz8YwJQpp20XBfNWVqaDaypM+ZDIzzKCL0MLSNDnoW4cfXbZwQZzMaV3
ZfRmNx42ivQw1p2usDGmqJx4A0bO2mBACyqxQe0wpE7AcuYfggI8Qu2Iw5JHqCOH9rH3QUazKxwm
A8OBSUTQWjAyCMLXLABaNw/tl4xy/n4OEYLORfp5JfvZ2UfaBsaNKQYKxS1BUReHB4eOlIILgpxg
vCd7k7Q1BghH7auvkM3BcRF+e4zuOipGW7ryzKdeHeFOEyAWhOkW3LzCYhAsOqRUlhgOyOKcXdIH
RDNoc+CseaNmwnSDMNmNbdbvCtAhG+aP6lKHD2mJCQbxT1IyfJjrzo3pQPURQPJou0sdFKTegsLI
YpxLo2Z/F8RZEnTyQE/YHEFhJ3Hk4zlC2JpG9i7UmCar/ZB1Mzss2UwydNW+yTEvgJC9MT3/YFgT
V2rzgkbjJiXG26zPZLHV+7Ion1iTPpQqfFhD3Q4WEQBf6INtnFyEInhLw+4FbHYpvoM3ZyJB4IUD
pyPlMhAX7YLsiCrEvtAcqLHDx4qNT4hbEYOSNE1adAHrTawO3OPKAE0b1HobXGPhBSEdnQWP+PQi
yV7wVTWWivp/vxeEdvA+30KNtbFqBbJia6umuaMd6ZCY7hGHxJgA95jBwSzJJrpQYFhu8gDVhShn
4rZ0oq16lxm8Rmj2BMq61tLrpxCpBpZ07L1CMf6ylObFTRoDhUCkWx2e/wjvN8/J0wyJzkjNG8Os
LwFojx+5KHi4ZfbkgdBcPBeml3zwqRwC5GJZ6nYDZK4y0FPMhQ/JPk1Hr4bWDjN17ut3GrGzG6f0
fQVT94hOZYaIdYvDcItH6VDcGR6YibBW0y6Ii0+z8+AK8ksP3GgK1EevvKEiNbX1kzVSDj9Cqq54
9qAfVAXJ11yb803VBht/YUPVaans/M+AYQ0n5p061o8RGsLqA+m5nJMcf5QqQOsY2Zz1snslKziM
IUxEsoXBzI7CxvAVSNJWKtIXGc8mIsreO/p9x7Rip7by4cXOfTqukQX3a3yxR2xSG4Lj3uPBE9mT
oO3zOH4zfBQXkn54SWviHhqEpxDOtCxRYHXb4bwIcVnfQR+DDLfxLVn1Jga9rhalzi10fmxG8wcA
atceaaobfCWQOwl8EAg2XKs1S7a1sYIHPsQl1JImxWqapFdryBhc+iLovmx9ndoWMr/XwRTPiUBc
J6tVspx799VLIG8ZJdQwIe5kzZxo3fm5Noo7z5vPaKQ8CsoQs7WcDPBPGyi6ZOz8aV3/cMPhCwwe
B65m1Ws5GMZIYUdPPiU9W6Cj0avP1QCIvLKmO2sh2J29GGgrDxsHj9QMPqzlt/XiLb3nVA7jVeQU
KhI2KSsWb50stmPJbxppTp2XxhmVZ53vAo1uGfBpLB+CnFqKNZ1Vbj1PFkIUkT3d2wk7puE+GgMW
GjmSuSwYfVF9zLC4MFltvAkROMBKDFIej1GT6KisvSPQIAgm1+thryFVvFaTab3bbPWfDSUpngnS
y9SZz3pfFtqEYSm+NwNzWif1A97qux7pR88r/TsHffdOQrHVGH3ERNAsRwZh15EJM4L5jdCOdzkC
5AgMrrOWPp1FXpt9q7rO3axjHiH9c/Vjou0V9oB9+xkoOxpqejJ+KOLhG3jYF72U6LcaLf0R8aXr
hLdaYn1NinQTthKcSlawzBiPsy3uTR+NiyXmtnUJYmiZPeE0vbje+7SPvtbWHh0Pg1BdhOzqt0HP
krHoZzIEz9MyfdS3KZGmuNGLYtXJBxdkAEgu3r0uXPYt7AKiVjaSV8HsoOPISuM4KcLf7Fxrb8Du
arSwu4m7CFBTwQX2AsX6baqyF0ApdCMniBVMfwSGSe4jWOI1rhi6gZFYM5gtCJyJSdFrKD7OMlk2
TkbeoQs+bhi9zQ5VDTly1VFr3NLqOVgEicAp6UPqQ9zo4hTEXZQkazMGzjyDes4kXESGYFvTYKJh
gVjL9OTJbEb+kTpX9D5zZ5QQhGo39cjAC2MS8M7P0WxhgFvzvhTaKolIoO8ti8iMOntK1QM93h8V
D9vPr0XTPwyZAKA4vKB7Qm7NqBQTnoeGPMQtxblpLZ8lBzQGU4QBgvsRpacZ/MiNz8NJBLfJLYIS
+ULxcFc34y7rQT33FoFfbuUfu8G6X+cDeBteYUNmH5NQzYYCJCq/uUBuQDVqm4W024f0c131wZbi
qLqFIb5Ov9Z7bwcDuaFOtQMA9ZOdnSxqjENJzjZPaAbC2gp0es9+j+LSmwxZuN1s2fUjaZFU6W0z
9i/ZOB3mCkVXg+K/JoOEKPeBZtMRtUsVds20Ql0qyyZWhgKN8K7LcUjQ+yMNl5u1Rpob7LoxRbfC
/aGTk0SsBjIkeit8KCxQlzZdxAtxM4ZkvQgWUip3OXi2KK6OpKcGWPERcscUQW1DTaPxQZ/Vc/yu
Bfd5SG5HOPz7JtUAFhJk0y6fI0k0WXSDcRO0DyLhb9csr0PyioRCezO0LDGZm30rmsF6WHPPYpE7
JISjbdbyiDovf226+W5MIBDMQY+fS5dbGxquV8/KiRgeYA0/gAN/W6s0hsFNN1m8rTUjQpoKBaQY
j52IrQ09px+bHaFiCiiGYeuSGvuu8BGBJTydvW9epJD10SW5PHAYNIn6rvDj3jY5pMkKpOVaya4q
qtGNzbMDg0vZiRgZwtETqsPeXi8ls857K58eEhjLD+gTvfUgXX0k0ih1e9vYjt6S6gm1M5DLCxWl
pfzYLt1jZZB6B2VKEpW5LKhsb3aITwhJ3nnNmQubUb3ubbARWfo8iUo70s66WL3o0pTQwuCFnUKg
KR+pMtzQrM4RWYRSF/p7LPugz7sJe1afXxuUM9W8B3XU369zuTUEOWq1PK7R3HqjhF4o+LgOazNJ
HpXZ3Ncv3cbGQYKNGEIRP4dW/dJC6/FpMB6y+t6aTdBthNugnimqZp89mPRbO0IGeUhQ5dTPRjpE
12N9WxYhWg6M+gn2bgoO1FAZs7JGsbuYPxkBsUrlxQ+L/zx6ocULAAAOi1aDeERx6u9b9lKWUqRN
4yKH1p7kJ2e6NVVFUtDM3wLb+2A4RbUnPT+4IVwyx5/7Te3nH6u6O4WIQiGGPUyKoYU6ACJlwyaq
v1aZIQH6PAZDeWuY1aclVN5m9sh1gw6jAwBvt0XqGSgSJ8PWnbPzKGKUbsyhfzebOXRsRHNzPADA
+7uV4e8Xd3qp/Aj3Isp3m9jE9b6fK5wCSqO5tMt+mYC2BK3alotd31l2ljwGMGVzag/9JPq9OdQP
Q5pBXMw0hEUMai97Ba87xK4H4DD6ZxZhQ9JPj21sm3cCYCTqg8veVHTmKpRbjmEyvm96G/XnGHka
wm3So2sxQrgPFLq9KT727Y3XVsbnrvR1jTRMjkulEOcx0w95nTqHEXL3nRWM4uC4xVMxqhChEhdO
ft13eANM3SlvkRZI9QFtPOzTADKFYvJO6yGw+NR/KovBQuAWF5sfB7f0kN6YCf9NH4ZRWNjefpir
56zO5Gk9yKwH3sfMGXGuvm3Dij+fFY9ZjHPiPBg7TdPYRtZI/SCiXiwjVhqrDpGgMlntghR9YlmC
ommz7GtrGuLU5+anoqKhkCWxtQP0FSHIjZT+eoBh/slHf3gnbPBGk0L3+D+H9bukIvKIQNTFYFrn
rJxveZrOqctH57R++tOPdtTbgLlQw9fQMsfppx1KwlRSNfbrP4dqBPtq+VWCSF9ACaee4vY2KRoC
A4SOjKE/2kaKDlpUjzVAalYBwOJpiPjBGKn96CO9YU8AiaP4DgEMcVoPfZTap6bV84qC/+4//5AE
nChLqWhYho1xpD5Q7hc/PvWgVtHR1F96o65NmgITvDqun3wDzcuyMl/a1DJfyjoJ92lBaTAK5G0E
9BYmQ/xqy6a+c7quIXGM86ORmSGKsPYLcLANsLTqnSmbO/55epAW0st2ipWpD6qNQmQRb6RCIwpl
M/vZtQzxHEcmsmZJFO+g2RbbznLh3hIRsOhgEkTzVyFtvv5Iob1+GjnH+tM0utaOCr+xHf1CHfqe
ywmRDX5Z7Lx6mR3HozROnWL9ztOCHn4vnxzjEQZp+bzUDxTF5r23xJ8cs8we4+1EaihhCkQD1f3F
SR02Ip5z2xt4R60f3SL6Zk0hKkZea5MCWPZp/TTot/DTd6ZE/DZ0PqpxiaDZBv12FN4nwwTtOGko
nVN44Tl3EYGJp9OgD+unaYjeUThbECDQKLAWPexQZm8JjXa4nM10Wr9aD6YGgq6fqqYDdJhV2Y5F
L0PpDKtkapInN/rMBT6nA6NclB3a05nzMD/7XTDQbeKg5vkr2xGiVd4SYE+LG13zzjVweELU7Ygw
7E7oWezp2dnNPthaJ0EYoA0ZfhgwoyG9p+J+56JCcJeLEPZy7UKvnR68vsHYxaYcbmtlgJilZhtB
z4Grs5s7Kzw1eoq3cYMMcFehGR8D/Ue1I4+T/jSkUmHaplebTC80ZVAe4hRRehuso7UJ0yDaIlyC
HQ855QE85UOkkh2tRHFExa7yUoUFWougliUJ6Ab/JtV/SppgwJNcPfZJB+wws6CYLROKyIthEkQU
X+uac88Hpze5BKfpT6W+mFCkxBjrR3DQCKiC4YTVoDTyOsZfAOT+af20HgKn+f3H2K3EPvcVO2d/
O3vVfIAdOJwiGPwIJkS/f1q/c8PXMQzg0guUk4dgojwexdoHoILcJALV7YQBUr212s+zxWONPbbo
eXjC8uAjLF50nNFoiKoGelbYvYrU483jsDDPyHYymCk8jOFdEKuT6G1EKTX/s/JROwpleOuQ8hRZ
km7jyvwSKOeQoHOYmMeonD77dXVZ3O4DBNBgY6G9MxKXkvmK5DQLQvhwtl/dZKQ/h749K0n0aALB
RKTEoO7hfDZFQ51gaL/VBOVdgzJEFopq92ZXmK1Y+AiO6J3cRjO+gRb46tFC6xAI6rZMA4yHPAyn
3PxLK9UXEpMb14K9BXnvy1QH19lpNpPXvhQhsjXl4tIPmfahAcmWG0Dx+0BcppgSEwoPC/JgqGET
3PYKxizIi/cdVq4UWTbVEO5jFuQmmVjbajS3bA+HbVa7Rn6OM/tTs/BHmiV6UxPb3NgjQh5RarTc
/ENYQZAGAP9e+OEX2+u+gGWm7vWMii52VCERHD4u6NDlzccRAb/FPi01Rr+moN8rYcy7C35h5tzh
8VXGH1mF7lMzgnOLfFDm1RUOpf2TqCtUw6YejS48wRF6dHb2APlqjNnglhIFHwOaRfM8Fe64I5pt
7hZJBZxW1FsihulHlcdBKqcozbO+jUgnAlnyfvCwmgCQSESdrf26wEeaJSmPedA8W+Zw23ukT2tF
L/HDN10KmtaEyqTCovCN7ERwQvAYFQx3vDS+CSsAUYkEuIXZBSSQ9gZc+pswyFucpKZA4jVPaHTt
bJlewcK/swkWqR2SM6u828QQetRAXQAxaaJGoAQ9ZaEszq6iVsbNEbLf6dd4G0dDzP4ABfNNsgJg
TT5dQdty/oQvapHlcvqW8pVduscCjSkKLma0s3Cln+iReFX+hUgvII1BoS6H/LOWu3waaj1sGT9K
0OIh6qZAEWuvCzKD9VGGlBkxDctsEN6CdJaQR5eF24cpQRSgd0ku+4B8WzuZDPObtBkEfUJMaHrH
uMSHAjr2tUyktW/rT1KJ64R1ycYYdekg2y8s14T8yTbvjTsJjOXXD8XSgK6/PBQwpJbnuBr/+Gdc
XijCGV3w7Njk1qUHTtSkpKz6kuJJ3VveeUHPBoX4aerV9tfnFn9zbsuUgpNaAKB8Ewjtz4Cv1hnc
nFI/HDTd8c4DKkacyIouuEE8GMLFwG5+kaBFoG5flCdu/RHeNFkYbdGXwIf01kAMJI6gpdzdN5l/
OzmUfH59lfIvoDBY4qbn+kqZvm3TNPzjVRbNVOBbkDJsFFcZdSSIqm3HG5ZhkslZl9cK9Hwq2cNV
8sFVARmrx/RNgznimLeYF3RHerxHSzJisAZXW+dyKgP96ZXFNWnya0apkDGxdwRBWZhEn8sW4S+I
pBqCGEJiRn+CciDyHg/1x2T20A8MSQpXnAZpwhuNYOw6gcSLgUReIC15SNhww2U6p/oqlR2JTTvQ
ipua7H5KnOM44x6Wu8ML5IjvcTE+fvJl9qITNuo8V9mML1nT4uI+fRC6yBjL+tYtiG+jK3oxMEHs
+V2Gltuvn7Wl5eP/PBwt1xK2Kz3PlH8BrFZTXBqK0scxlilWcKazA6NK9qvxJo1eyTD+oNOYV6iA
g4FIC2i9SYY6jIUhkZzMku2AirLSugUGtFZUlGNtHWocMr1zo1rU7Re4PPkpCqmfNP7w4qDGs6+s
8g67jXw/mMtbvhgIeIBK2ct63q/F5jCiYmGHEfai17A1AMJZ1KtjXp1uKBYxRbJkZO1vyFFMMCqw
9Yi6BAVROxFHlL6XDWWGsqHcJtlCd0n3NEbIS6JJhFBTmX30FjJietrXXKCyGC/9BulXwJdYEOFA
RFSo/z3KOKz91t74niVIdFJzMKyu2iVF9zX313J9ngsiBeTWR7gVZnHtBeXG3DYPKupoeZlQIcPB
3CS2p1sjcbgfC/OVQI96FRUfh9JcKpo75A8UGAbu2vW7l7XWXhnlg+Olt1FlfC8FwwfpUwudNPeT
NRDuBc5CYyQlwTLBlbVQOxvavTcFTtkI5WHzktTVnnYJGllJdVtdhZ3MpxHYFBZm7sXlH+kQnMJy
/OKMUUNwhiNIf29X3m2lQQIyZp9ofHj9jfE5zJnn+lIxHimj78Y4vfRpOTzCSUaEB5n1eOinix24
gDXqih5XB9W1bF//Ybj+zY5iuUJaJkwA13c1B+DnBQwV+yBxjDY92vqW9W7g8R0xnP/N6M7wjEha
I6pLNJ9Rh9XNO90w0wriN47GMNRd9g/43b8ivn3bZ5NwWbQEFcnVVeEnEC0GQ6OsYis+Zm74qcqT
J8LnW136zkZccZv5NtCIM3yqLhp6hRDyNTDrD7Zy/+HZ/M3ibqOPxNOxPQdI5J+h533cD4EsoEB3
0VSBvGFWYd+QtOiTV+CZQYp/bUjVBsT20dwotyGQ81bXN6TGj4Gn2LTY3W3zQL03+/g9ep1Q/Ilj
N3E1/QMS1/8LTN7HE8bWCHnfwmTozzhcAmyHNvgYHacUTTSDLjrIiq05oDisAqGb2aT1SyZRmuS1
nQvzHIlgPHmmA3GdX6RAfTen8biDpYVx+YLBDyrbmzrOkbiwMf2mzmojiAgwr+z9C7I8AB5QliF5
LEoDCrPf3o7p9IpkAmLESCnfixw1pQCrY99w/YtPLiTMF9G8M9Ks0VrgYPGMmN2nWY4CwiGVPn83
jBTWsg8VelDHDLGtXdXHEQxl/M1BVr7KXOxl7j9IJCrv/WG5iRF+vDXsEXfMChp8w7Sx66rATd7C
6s03PjRVm21j4LuMYPPjnAHWNXBwpua4QkULamrKN94jw/dmskdAPX0aJAvyUhTv/AhsVGjn8za3
UbMw3ScESN7c0uwP0j6uquxlqyhol1OyrxGXxlC0xq69ql6yuSA5TVmt8rmbjqgqfO/GuPwRffwf
NeofqFGWg/DET+vc9tpd/+eHx8zDNf/+73/dfrtG5c+UqN9/43dKlGVZv5kOrCbHggYkpQ6jf+dE
wfiG3mTDRhKsQR57e1E2XfTvfzn+byhra9aTBrr7pLT/6xoDI4pVwpd6/rGEeqb9XzGiLKEx+j8F
tKb+E3o99pUO8f8SrqFeUveuF8gHa04wC8fdb2STQ8pqEWAnyfBgB0aCKoM+VDF+0jKM0Ez12hPA
9JYaj/64HpLW9qBHY67Qa2WY9UDG2+I+w2H9kdFLLlxkmFFTKtZ7E/om+tAjKnCKbfH7jz++M3Cw
DwMIk2kIiDHts/oU68P6SbQTX7LtVoBwgxrSf1OdqsSjX7Z+DGqBwO/gecBqPixMmZvIaJDY1ixZ
z1X0M7F7cQh+/K5+mHx2//9H13nttq4tUfaLCDCHV2YqWMkK1ovgtCkmMSd9fQ/5XuB2PzQOYPho
27IkLq5VNWsG7kFCOZC2Oa2BNaGtWrjQ6NaL3WYW6ztcaBKc8JyzsEtRoPC7/QNGF9ONCH7ll/XQ
MaP4f/ELYWBoV8vtFmyiXzTdo1+owouIHddAb7EyUJDwmuLUPPazBbjBrAO34UiRn7h0thgwa5pZ
LaYnkJX9923btHwrY3GzUKTJzSBXhX+vU6j0cvH3XZKUBseWT1v2XPx9kZ71PRDHZDMNbRkyqQQF
x/8nY9wPbgFF45aEL3tHousGX9Ijs/tMk+xFULfFrjUimTCxCofzKI7h7ajGFKmxeigKqBmYdhNP
WjOCaJPHQgJHdyCLmDh8IpX+35dYy8r/63/nVzKr+xhTQtGl3s9eDkd/X4gorf7zHWDbfx+TTYb+
ucpwUSoei79X/veFqddj8feY8CR5bSoIn04Hgsr+Xk+XpoMfZ4EshPnh+cqDh95lAEjEqVPvFILj
iVOw66OsHYzMmX4a0cV6FFPxEhBf9CmWB8GX8CokF/0W3B1UFBVTos+uC2vhUMtE7PR7voMebSlO
cSJo70kqIlFC4qbjCBhb/6YvW2OZSeuaJU/ctOQCzZ/LNRAuvTEAQJtFAx51+E+0z40yYUz6U2q+
iVMobttN1qMjYtIDF21xJwrYqZcToW4iemEbzkg4D9HzSzzemaEwzmECvafyZ9Jm2XeCfwvUMWKE
TSWuoCD/AnmExKWrKFGwVl+o9Ca/6RbbqxsCCxJJcJO921MHC/NxUFJfP+lIK/B7kBh+2hoGISo2
fy4tQT4GacF7xYHeCrECzPGBwvKVREXDaeK3yvqqfgoPA9dhM7wnO/0kWLYVe92qO5DIwidB1AMB
Rz3EfIoaL5PX88vm2E6W5a7C0HTP49UH+TLeJwI0u1oKb1BfVQz4P7AKhaCR4+gCm3uCHwwT1gG/
g/rIzbpoISwPwZxsIQsxyph/e90em2+GfAadZssRGZW18/wWsXTscBG1+XQ72ebXCssRPysSPHDD
zT2QiHvQQLiHJCAvcBnu9yTzPbbyUTkXmJtp7CHMQ+00dtsd2Yl4wVaH2+IZDY1H+LnyQm3ordxs
X0HahGGDVQf2zgUeeV5+0FfUbN358WUcHycY5Jv0leLnGf3Saj6sxDZC/Irpp6yerNEAT5recBm6
tcM37AcCvMwgWeezI27n2i06l6gJ811ZCRfYz7wZlq36qf5O74lmx0t9UUUd9nzOkGCE4TJ9z3/K
1o+5HW5B+o06ToSQDVaC7IWdIlRPxNq8WJk2ApDyMKzq07SVr2YRNhfc8kbLYbGBiFc4FNn4TuS4
cRM6jTmkx4LScp85J1IKhFng6KZOBHSz9JIISkFJ5D3cCOeVDQt1zIaHLHndTr27z3/Wgslna8u+
2XqGky30f9Y3HgvL9lf9URbaZ/Jj7dh35tbTD7FXgdAj3n8ebzhyDzbBg2K5rLatEkydI52x3Kkd
a6HhZloQWEuk9yO8RXQ6D5wA/kLrGRt8yp8FFPg8NFkPBVw47/5DDh8J7pX7M6wxUR3WmD7rZ3VF
XQ1NclhbLrZ7hUvWVAZwYN8uyc1mcLSG6YnLPCFNbvNer7vnMrHYM2gCQ/Pf4+nD/n96D6xiukur
fLB33GaQDHvSf1TsCI29dvf4psHLJpI/56dTLnDm4ehBTfE+kRv/9JoP4E4s3X9I1NShu9tYs+6l
u8tn3n7iZ+xLX+WvxRbKxDicdR+Sy8AWxRD0Mh+1VRzT99ljEHtqNOLhYs9w8Y/Jx7N2Rr8M2C3H
65D6z6japl0oAZXeAq7lvXVvtzdRjKr320K6BY8uzLcC8P/r+o6Cx6Xn3nu8T3eXPygnDn9nWvUn
EHpwdhh05DsiXIUny4ianPIWX/lpCYNXzkI4/NyQN2mRv6csSqyTBS/+NOEYEO/SePfSVjCiS8Ps
5uk7bu8dSbxfsOCt73jf3RbaxlDZQJRfU878V1a8wcTkUg7HtF5neGse8NOcBJ+nuVVMgrG/XhnC
tZ0flAV+2a6ab+nQXW7rF+Nt3mazPUCMRUIUFOVJ09HaNGFJLrTql0XQSae5ckRx104bQ/wHgQ6d
C6gGm0dSeDd1qRMilP8WaSiSMCPZ8m660Prgx8vbNg7Pw224yu3vK72BuxdOuGz4CrdQZedklaaP
ytaLLc+hxpYtTh5W92wWCND4GnfMee0UFwmLK+Pmt+sd0yvy4YhuI8DrXx7xH1bAPmol3hj7vxhQ
my3u3zFmLvY7NrS7OL9k6pq8O14u/OX1GDm3S7Mg+gx2Zr0Ua5/wF+KAp/h70Ff43mRF9MAbqfcx
hpeL8Cn6culJ923ZLIXEk7r1MAa8PGw2YUYlRSSVaxgWT/I3QBGizn05cdhH3F4mDErYxly13RnZ
ZEvVMvuwFsoi3evLOVTflM1zczuaC1Z0YUtL4WJ00I5Y3LAYGKxeeAm4ZDXtRkgYafsP5e3VW+Wp
J91CUuge8kHG5VhbSA/nts+98b30sWD2GY7nEfkPCZaoWKd3b9mE2H6N/9m8xLDTP+F6whXUfqT7
t3r3b3KIWFZRgBhcxiVmQ/kFIh2L9jNZ6nsImUm7xLCkJuUEGAY9Pf7cAnpbB3OsNA1qyWOWINfB
mL4/S7/X1tIQDqpr5mv95vDzjHLifAfPP+5tmO5wtqo9G9Hx9VQwqzbgNibVrW1FRDbWbnMUwB8C
RnI5R6+OvSOm7Hb6m2Q7OXX4lrymxxx0pKvISxn6AmlfvZvpAUbwOFnVNR7f8GNOqE5kGa2IDVMk
+VbP1dr6KEz7sePRuQluy/tyIryRSsMxz3Xl8pL2MnYi9ryaAvNLPdNVr/L93LoYPdVO9+8l+Hkj
5o1stwBVxxDILpNG73HtdnBfdk8v3grSoo/azbhUPupwp5Mw8ttcpzfM9cxNxXOQnLxUwwcRSBAu
UGqsCze7iLgmv6MOEGFQLPmM8KiCGwuhJDkMpdPit065atErRNj0DtlJ2SLOYWLWy5i8uCNWWoH4
ZX2I5749D6PXHAmYHHZwWciZPMxLaiVeRUDNrs1Brwfi3c4XOJLoTrpTlwjEz+O5OfL588eSflmR
r2g3bxwcGJE5UCzex3e8aVixlfuEOkOAUv72WBgn6fj8vU+ekoTFY/08NsxN7bFyQZhF2Yu/+231
qfpNy9EK7Yg1BBme0HfbwOx030fxQXg3flg4TSAdxe6MP7N2klDboXTqHJoIXTybz0NHUcIr+US5
IZ1ynoy4+y5shj1+P1oZaIAPS0PxCdnISGof7BVj/RS1Ajs8djrXdMfIur75be/lYS/6Ze+J2T7R
vX4IdEa0hT8WOHb5ymdODjtM10+vrTflD+e0hd1c4SunBie4oPzBVjTo3vouIq9Ovh3pqupNdxS/
AC6si+kTDpA9fNywcVRs2zUEgtvTL0aq2+2wb/aNvJYSB35zGVhZlH0kEJpRny7r7Sw7veXXB9Ld
laBWvHHDHyA/K84dK1nUWxkghrQ2sqj4feNNFl0hWfSm3W6I1uBHUaBUUvjYq12UGxiG4U6PSbJN
DHXr3N6yze3MK+pnyMuJ84g3QxkMD5cUE9om6x/kidsrcApy8A5n3iY5GNXXVIT9T/3wy/GS4+yp
uEylnz7VhLQZIz7zgtCC1fjENQqbS2rOO+wMu1GeqktbRiTNy2cK6jZepT2R45K5+PtCNLm1eIWp
mGZzvSn5sBjuFg6aff/f7/4e+/sSq/wrKD4VhgmglXfkeVRkcyndLXXhpyLOxFGRap92mdi0io7v
9d0oTf/9rhAEXlf6+pdcbfGTzoflZIkJmUyvH8QpoHuE/9/fVisSDDUdOUanhUZKQlEmXOomRgz+
oFLUWlR5Qkmf2b/+oGzSHuNi9pZZuOoWEmTvgbQv9Tm77e3RLKxHzbH/9y3j7Hox58XoyFud7bZz
u/Ic/5a/iYzXliOuadHAvzMHQ4uuCbQmKGIHW0r8r/sWPrELgYmymS5l/CVCbNmEihoNxsIklf5L
h5K/ouNBYQJlnU4CTciHxknhkNBQkrWZuiYo8iJbDyKKcEcgZ14PeFIVBdR6gEIkH/SDsp4lPIqW
gulrjItg6Bte8fs4z1vB66hFLcYW1PpedcYh8ba6O/G6/5A/aJCeS979W4q01xacLkTVt5vvLsTp
j35dX+k649HDkOv+dEEgC/QXOuRLezjXZEp9YOG6la76ofsSyJbGfedVkqsfZWCMvpy5XHtkabnm
vfwVfocf8Gm4rvle+zJdbYezOa7q2X2vMZK3p6+H/yAX25YY7a+6FTkbT+5C6PpOd8nC+ffuS9eU
uu/D2OEPxkeHlP4t/RlfzbM96s7to/0tr+iliYxMURYagQTPwSXlhn6HX4vBPvCssmz51BzIgMVb
EEkaFBxStL9kzr8dSYJ4cVIPr5FpzFSxd5/LjcJ4JivRfoTaDq7hGuwTf1gJqMh7GLbScqbZ4s8I
hSmFcUrJ3qXhtOSvYXJIKKRVejORTrRJiv3c1257Qb4CPRcxpmzYEJlL7CZme/TjFauySp3HV3p/
9VTDGek+fOrhLHjfkzOxjyWr27vh4LAd6dFTtLP1jWQTr/WThRI26KLo6oPuS+YS/PCsteI8Z+cR
EnDXOtYXCQvCoYM9xu+HPLAXoGryHGplA3xlwp7+WVmCo0hLiY3lQC6Zag+So+F/OXop86EPJAXG
XiQWlzAY6AU/VZifmxsdPjWVzU9gZZlzkB8Jl5JcdYGEz4t3WA0zMx+Dek/CQJX4LCNTtXlIHx0l
IEOOzdZaixHxnVPYH9ONhhDhXC9wFCXZYFNe74cMAi1S6h/DUXa3wWPSEh+ZDRDQy3UBCv/CclHh
Kp/nkdZSTzz5h0zcio4KmjErGCtUbJIpqQ9y1ITTmatRB9hmbG4AQh+yamdHMviKNd1L/yoCw+Sq
Vr5FI5CxB5e+oETSnuJ8V8F9iV0ue1VCa3Zq5AghmiztlaMVqhJ4l921/kR+iLrvgZ84OAsHwEyQ
dj12e4dXYs+nsaYdKMx/k+oowlqDEkLv/k3xR3uqB1X0AsskpoMQIZlAuCN5KCAGYAQkIZzEf8R0
Div6SDF2xutzdRs+MUHGKDbhnGh5EYFeOyVlKUdp6/ef2lcRGojWAD1AJ1PfkL1bfHgQoXX2xdMU
VaTxBKQrilI43W2C30gUhSwxcY+Dg50fH5Cb42fQYxiJtrb2pi8Jz+IljnsvvKV12utrFV3NX1AE
Qo0PLIwsgzXhAABxwfsdqIBwofnWvlgkd/J+behP9VV5utpXO+8KLH5RiANIXPpftrj7R0U8R+aW
ObXacti2cAOoqdzhXMlhiiznjdcFOBHpu1F3QbnS7Xgl7RIoQ4eM9HIgPBPkJhj2o/bEXwYocKpI
N+RDG9eEZz05vpGrwZn+14J/5T6RL8XVXJAXi3GqAOwTJ4txbdFMG24LYconR0hdK71dnJ5uH6Qb
o4MHYz/PxdXaz9pbkXlj70oScpJdnr3f2JnOqMbwQR0atI3rdnrBLC9Pw/RtunH2Ag5B1hJ8+SBC
+03tPXPTV+MA6ABOUIOhrp7nYVsuhhDGnttxORH27IC1nKljQu40P9mOmwTSqKFxhK6fCmwFv5gD
ZJMWLnS6TWD4UfboXkDSwrq152Oxw0u2XlfjCdSLk+imbe8WpYLHkdN8GZ7xBoKWLJUz924n2sQL
bfTtvC0tnFdsi11p1VIslDaEX19h5mO/nm6XVHuuYz1G8/G1U5CueuDKc8sJZ6wFzd0rioQd1uRm
/OLUaOcgTdluyCbt2XmX5TFbj1vjqrq95RBgLf5OathzyxH2+9Vrbqb44j2c74ui8k2Q0MSfDEi+
MCq3N6oYw2bvAkcsmVC/Pm8ujOqJu4FNwPxwRdF5DZXQpi/ps29BtYGrrklOgrEyzi8GMTaLO4So
0mlkT6L5VFtMafAkD4CwzF+OWnN0kjnAL0NPl5xQ7KIsLFx4DYlW0+7exz2iSC7zgdtN150C9tPg
g92lgivLPuNoefT4gyp6XAPHCORa7JAw1ez7G87j9P6YePbc1vbj8zU3ZhJwaVmMl/k6rrnT2LBF
sC7yYAfYdOs8PYraEk1hHjURrqNofgyWUxnRofJZCcStyCiEvWfIXYu+I2X8vx9eG73ykohSZy8J
GWzHkPtCL1fwzaqlctUmz3gQKMscM6rRlJpBPflmselZjT/I4G38bjOfQNSs8HTpXZ89owlRgpBb
3vSOSDh2VB1e75mdpfbAOlmONkvszv+E2hexz4CfXPDbsL5XYWxsM/J8O5YCXSXHNioHqBuMeUsH
Q/1c9nAafS0UMs8tv8t3pNaTZ2/345pjo0GuTp98Q2zqW29sv/bo6SfcYO7UUPIyt/AmccZfqT1Y
pt9ihtC/iUcORUBBaGrDT7lr46gMUj/RtlwU5awe4118VH80yv+3YTkQD3BG+opcy45Di2xjsF8X
wdg2XraTg4qAwE7uUZUDFo1kAC6CD6t4LLkxU6A4fnvE68B+cXcYDsGP4MNH4dNspC/E6wCTz6+J
j4Jybte9ayQsnUiRGF081m+7lo3kBUdndItllFauP+7bo74oPrO96OlX+AT6nfwNu/kD9Psxks6k
s/6zmjB+OpJ/dxjrPCJh+q7KsA3wQP5k+1VZlkcOSVIsxQMfLCTlF+30l1p8SB0IecRGE5wmfHKk
ZwuiSxbmurpIBPv909FKNDDSjl2HaYPimGIAYpNxDZ3bAo9SeG+m+gJWRSDLHkyneKPnv8JWejGT
fmW0Kkj7IUUfRy8+FdwBFHgjBx/yjJC8nmL5kG39350d2LKhTIiEHXngwOCY+EjLi2kl/2PXhbmb
QKfZxEtWWXd4/KgelLoH1DFWgk0U664zvNsvoTLs4HqFH4VDwMqT4cf4i631It3W+zhktX7zIok7
b7sVYGlFrmRr14tbpFK6BVq2lmnbr+apflO9aZkEuf/Akvtp4zgiQON0YDTgJpw7pK0cKb3wZqAp
WeQraaM9tzMBJGDkjuJSnO/Zo3DskiU/Z0BGDjoCFLyUpGVsru4VfY/fkW9crmjthi/ri5sTrtBw
ZrHIP3KHFt+22/V4ui0IZWD1H6fznLrcUC4f3881f3+umkN7ZFNMwU/Ab94TygRPjtSP55d1frbB
fMxgNF45lzR1Q+byff7moKH8v62UK+ZMd31pflOdCHc4PbiER/d9Qfnwru0qAJ1DJvOSiShy9ZX8
DhcpPw9h/wtTjaZsk62nnXjRkDNE+dMuVighDA9vdto9Qns71GoN8xZbjirPWsdbHGChWXjqBjfH
ka4GTbmP3sUuV4mnhJb/2FrLKZz240UKzBVxfhXNEuELr8qBKFqq+NS++1yNBpUhhZRHdYFaXPoi
FHM4sEe2r33Dzr+khjhKbL8hStA+gTmbL1ISTt62RDVZeU1NVq39snNYaQFW1owD3sXEpZkWOw9Q
X0Fi9/RNEN7ewZF+9jHiJUe8MCNYmeah7+3HEv6C/iBY1M4I8hrwEHflzdMxw95YQJOu2FgzsCjQ
hkVPiSzjfOZRIFbe+C0tmkV3Hd+H1tdGV75A0Xa56FTMPdGgNIcbuj4K0z2BT9IV6+GoPNLxLRkI
RDQWxrFmJ1rnb6SQItUF54PESqvRfogvaY5PJF5Jk9u5wuctHC/TP5G3V9rCur4Ind9/dyeCpawx
zHc1UtQHEkxbO5lL8QvgShs89SwsGim476fT2Hha5wNdlD8pFRKvCjQft8pKDDvoK0+f/C85YQAA
uMkF93DZ6e+YEECCsnnianLkVSfS4AOnXLW7I67AfebD/FwpHlYhh/qCgiBhBEUxjqE5/nM1MMle
za4D7yiJxksyHjQS6WdnZumAza9A0r9DbDRAhPZcNhiWDtmvzC8g9JmSC/FmZhsJMaERfnAr/Kec
GHrc4peCWGPEJoXJVnmupdxtWRYOZg61eWz7oGp9DNTvtME57h5ke/F6OKBdnIpDkgnFB1FqmOI7
IIrflY0k4UJukKg6T5Bp+fX5J4Rll/a0l2aY5VQaeB3QdtLizRviAfUXKFVuze+xCflh+oJ8Rr/h
ZWt2bcJGmGbEP7OPzbrPbHFbv+FVH9tYWfvVouDmoVTmIInXmofhwGd/0r66VTrYBbrtTxEouXlt
v9m/craLf92HOb0OKmZ9etAu2uV9zYw1/qe8Exn/3i5GZ6Dhn6/qv4lw88R5Jq/Z6B0JQqiZPnfa
EGX7m7AlUbyvXzPO523RiNvn841nvPeL6XJ75SfaDCQlLhvIfx8It4WZLYg701QyVrCyc5QEdxEH
LhGDzeR1Zh2lL1ILHmYoWQFDSyUOboY7ErdgBs/2gtN2/WTo5jAmgpHdB484kF91BDNRwiB6B/VB
vVcpyrE/YEZ3UYYFU9Mi9svJbfG4AZuZXPOT4vj2psMNhsMZjQsKAuaFNH7uwA3w/fgowNYEl93y
Ye00LUjykxY2B8nyZ3Tn0Di/yap+HVkukWOfMH7jBvcxN2ManG8YcMDaTeFyFSGNC4nm3ItvqY/p
tbiOrzL7GNW9J5PUEHL1qIAz1AHuU3q9gqdpFzvSN8E/Ma0qfI4zr1/fN6m2bgmy8RoORIP8aycO
2LLfeLtUxumFarmoVo+JGVEZUqNZn8axgGF+yn5i3WOpF6vMsTzzAyTAsBGVZldgpmI3reI3xqfd
O2n0JvmEVjC808MzULQ+GlinACbpGf86bumx5B14wu/4bX5wyL1cjziQhtCi2LiShMnxzQlX6C6b
63Agu++32GFrNEXGdwmx08vu/iyTF46VFgtOuxDaiCc7Jyx3UuYz659mMga9rnEfs8+ife3VXHzK
3ne3bnymyczLSHeQ7O6bA1RxiAs7lqYnSBT+fKRF5oqn0Zs2AtuRzGQKeVVaj/gbYE2GzwPySsxx
7CfrWrDvR/IuD/jtiJKHQbr5CO/XvHLqbXUsy9AQML4A2fYw8IHgaw2RlG7n8WSl3q2kdmajoNjg
pfj9VwbOE+jAOy5jQda66rXref2IcHQLgY5YC1R2lTscwWXnxH2lGhyMLfIUbSMvOB7VE3Hlfnsm
UrYSwrJ1hqNM1kUKbrtKAI0zYCms3KjFDvHpeZDQ4ynXxPSx6+kYQzDKCtGxMJiDI5tqTiKUr0mV
oUfxHd84b4SQcr/qb7rXLjI+qdRpLglkg/RYv14rxpvYbTmY9dyUcCYLYd4yMGdgNPa+brhAlpQb
KkNfdcXwFHcSB4eNzfPSM6Y8SlshKjb1e77nUMf6gtQlNw2UHwZGCL0TEmYjBg6oUcLsIKqbdDFu
dBRkNyf/vZ3F80zvS+Ed1R+PIF3I7tMD1VE+Abu7K/h/tcCngNgPedlcH97NE6LumBx4O4hWJSyH
ePZ7lEAwYLvWnPs63kzrR4AIg3lK+prQEf/GoqG2y9+bd27N6Z1FxoYn1752UC4mG/dm6m0pQrui
yKuh/BCBME46YEwXjJOHI34+MZOlQXQZd1e/DwXhg2eCCTEr44jms6fcKcJ2DpGG5x0zF3++eRrb
y+gamV9mi9SMjGotoXEzor7Cxt7r1eA5Mcsg6ggvKR8/CaYIhGEwf5jkwMRF6uFZ2TmvKGWM5SC8
SWsOlmZeMPri0zP+5nGp5uLckRnMo23lo/lNDshSHs7jl4HwjqdnxbwuwqK9E7/GVuck53bZ/DYw
ukk7xK9tlR4r1Tb3yOl4dwoWWUyWgLZqmxEgkqYB1O+dq8N7bOk/KMPO8rJ3jbW+gSbkiEtz/5Ja
NZ7xQ5ADfnjMux2DQSHBQOlSXw6f83cmcQ/a6T/mHFH31kw2RjNTGozjKe7fJMVTKNIy77GLL1go
lSC7xtoIiM04iNS2mJRpAU6nSu9SbhTM7Dq6WXv+Ss40FbciaAhxYqLD8MTrFxr3KZSeL3OJp9B9
Vx3zwiYlKGJ3EImqDppy9eeFEZJehA8nVD0X1r38rm7jXwklqY2xa+7AgPf51V8B9LYElnDlM39v
8HnvYFbr9iyGypGRouCWB+FD308fyKSlSNYCqMrfeHUkPyRlIkyxtaMQR9gWBswWj8YcsGW0h2Zx
n2z1HB/YFHTxRUTTVOi3ryblzVyPIXOGSncspGiSQ4b0VgrG72zbMXwTtr1os+Kro/KhMuRJDrnq
VkfzCxcnDfBn2b8zPHliRJV5TWAm9vzOc3S7Zid+qctsQySX3Djwp6nw4KPg5nttAiV+jVpbgAZw
0QNDZnwnbh7sN/kiu8XhfmXZxQcRsNkxN4x8cOkqVp+ftNUZCEM4BRk12K+BHOxYAwo5SCc3vMbk
oLLhHdLj8wA3gOz6nh0chn8fESpJ7Fz9ZfE71upfzgdqrfIgdmI2TrgLzEYPxc1lrMzgFt6Ul//O
B5T4u3b5qpAnDl6IADYUkiOA5bJ7KzYogFwuaXqtuLGWid/sq50VadvMrbdToH4pDAxHG1rIUg61
LXr27pKcuXXxCXMfu/xtdJkukhkhJh68F2B5ys6dK0WPIBkc2RegdBghPDxgFoD5vcLmgYUIHiHn
7jq86bxbxrc/L8g25lIzpXy696WACTOfM+06/n5HNcz3aNVX2r+a/BPg65DYlKSOuM4/YDH32BPa
oNds6B0Q3Vi+EG9AHRgiGovnTpEjfUOJmdXv1gKLP7ZPjp56xbqsFvkRo0njU//isV6ylV+2CBaK
9JFCp6GyPzdr2ZWo2BIqIreWkUd7KZOamWg3+HREVGJ6YatxoNDZ1kgQbTKmWSLie7OD9ykwcqOj
xgwXYxWMh5T3gSLp6UlygNEMOlHxu17xTJBlTcV5Rf+exgOxqjxPggsI3qFLdYkiV/vs34t3gmQA
Xh42IhgBZBsi5qFbC4vsvY9gUWE0xJSfrnEvr+6zO0ZU6hVbHy+RE5MG8R6aZ0bYJPo+1tIHuO7v
RFW1ik+YK0ERi11zut7myNrUn/eIW+sJnnqBE8LcpiKzx85XAsc99DmvsjZoUQkHy07NpaUFH/FD
dNm3p0vNdBd0ahGfYHSgpNuBCnQA8FdOuvcsW5g7iGU7ZLq77qM+i25DHZ371Sc7NvbjKd75LB9l
wwnCSaMvYA2pNTQ0gHA0P9gS4MPozDuqbGMrzQ4+ZCXlcbOb39uDth2XTZBnUaI6BpXtqQnYYDa9
6gtL6z2PI/1NhEDCyQz88fwWcCZ1IcUsUxLPIa/5cB6BWah6ZyT1ZjAHlstOcEGcP52YdTen9GQR
rAypF8Tfto4xbRDllxe7/eKS39aPu2tQ14IY86iFgBW/eXv+hxOkdUnfaRg6LmQc5DRNXr1t3lJq
Dtqa2iGDrpSplL3ip/ukU02GIH2zrrcDfmZsiWITdYV7F/HhRZ5KsO7yUb0hI9a/9e9Mttl07nyI
GGSRYR8yRk8u9FT9hdS0afZ0BlfiBsPTGLes7fgjdmF5SMPHm8KN2TvGp7DlpCuUTRF/1HBYFBaX
Sj81huK86sbQeuyTfDciJbiTqA09yRlwSbXnMzUE5puUGSUwlluDrRzj7wmH7Bswh8Ptw2rMTa8o
w7HyasmZsqBvzhgpcExyNNXAaXg+DnhkAG6DLjN3Bbxi1kSqH4SodbnsAie/8lyIo7HYm9laBk9H
MP+BD3QVjF/JI2pbUAB9qWF4TizjgHMZo4TXhvwUXhVNXHgFh/X9dQDHhznsfqeAwCjuoOE1W9De
23MGRTVGkb0ii0gD/VCJfg7LfE1wFTQqdj6BsT4kPhwjMY39nhd3ImwQt79KWLobcMsYkybvzlmF
PnGXApqPp6nbGJHJ2HQIFQUa6opzmrG0H7PhxEgC9/HTVaZFDQlCRzjuU5Hwgov8It2gjFbYPFKI
ohQuXYlDhWEEtbX8+vhr2cs21RgVwnKYdl25T7KNXKzJEVCwypxwgnCfAhbe0ThsHzPh9U7BDLJk
MLGYhrWSf2FcoJqQxU4z4l/xEVKWUJdRC1EkqFxewBBKdspu2TMTn72Sy/FM4eqtLCG4QaqbUdyE
t8HVdRfaXX5R99YWelKPugzjaAbWZSigtGEeVflS+RmrUTuttAkOx4mNOcGd/qh/Ddu/wX7/mvb/
b87/97+Swq6uF5LwHy7A38/dzfiFjjTw4fgFAi2JKC+a2xiQ8Rf9PTbfdNU3OmM73AorQmHqFT3A
GCooimABUE5/3rpFEo89UArfGRWM+nGWtKhuVqag0iv+PfT3jzKGY27bAW3/PSY9H/yz9fqNv/+3
GrJea7yaOhWKfZHKrSdOyY80vrj2f481r3+oM6j2f1/mFunB33f/+4e/n/vPryDDJElJSAZ8jFXG
W38/VOSmwo73eqK/H8XqicYklbMFcePNJh4isjzcVp0hqvS3UOHFSnpiBs3Ylv4t7gJsdBw57bC6
HvXZ1R9ecsz6ed3E8266tR35Z1y1slC0jf5INjn+bJZS7BVV+JTFoSMFRlUdi/FGks1RIqRew/3a
3zbTY1KCe0maeJVfbgJp5kaaT7jnPHDzHabg2bWxX6QlTR4IgvVg1JhDi52VFK9TfCEhEBq0yT08
0VxJ39BWXYqhHKMhoT5FccLRp3Nu6n3C4Krtp7DQmWwn42cplvJSvUGLaokiMFWPq4K7C5+RJg5+
K5nEL3ZAo+O26GRpiTSd6Yah/Zgis3hT8St08HPWumYzX1GFtFhOUXD0A9YjNyhpQkxhlCeMLBP4
nRpsixaNrjf30BpxZWXTagGbR3GK8vJ+GVJ5UcJOfQlJbowHeuRUoaiR3o2rhc8HgmE2SYlQvmuI
l1bd21oCyeupppDphmEd6/Jvi9qOCR8M/xaLuyfz8gp/fkd+Gj9poX0+LPCMPNFuTokTp2bATJhM
uC8N8E0Km0I1GO0NiiS5kuCx4eGyRHqhMD7oWDfFHbIdhMD58WNODyw1WmZvyb6if2hhi/0f9s5j
yZFsy66/QuOY99HVddHG7kFAOFQgEFpM3DIiMl3L6/rruRxV/bKs2LRnnHOQMKhAQrg495y914Zb
hdxpCtejNQ+wopY/X/Lo4uglbvriAYAWgqfIAFfAiUOacjo5UVn4RY4nWFNZflDyc5x2shCHWXAM
nMokhgJmbtSIxF2PYa/FefcWaFG1r/JfWoLygThQFk0jJr45lQePWUCP6SHW6Tk0hDSekxYSQLsc
a2ADxjVuC/2cVDUihdJFtDC3rMhT54Ow3dY3AvvTi+bbychoSrk6ymNNbqcYeW3KJwotepswTEYS
gyExZWWwgyZB0cuutnfMblP247hrpxk1d+TRD2amaNrlS82WuNEHnT5kvccRhTgy5WCWuNmvBqvs
sXIn0kTpiUBs5QBdsH8EQwQbbYZUr2XUrs4Hh8Dql5WH3wmBm34BaQsQLi0qg022pYdm1KI/ARsA
bmKylyRUA1ai3gVBZ3FFB61uGRA1li3I1rM5GBjkONQ5ra4meXNig0IuQOvsVI9aypKghxKz6nqm
qhp9wzDh1JaY3mNngb02q1SuGw5lSZVLUupR8g+XgA1pHcAbtozQBfEWos7NUH8XvyBpdCc95chN
QsLa62oq8jiPfdtj1N1R0iRBOPrBXMIpRnRbGhY6Q61APZ9pPpgyyQm17LNyO0n7aPMF9DXdw5yg
UqIS6YKHQ2TtXAOJ/9wkpy6mUMkVVV9RpfdD+CNW40G30H1piAw4xIY7S7or4ImYINLhO4duBMA3
fItwRAN0zHSQbUQfmAq4c5POvtFZxVaRuk0PjOE/tOvhqwHWywI4fW3m+cVKL2PFaKplhjimE+Jn
2B/YTN2bTNDEKhl84sVc5+mk3UODbe9KgyVMOn5pjvY+jvzWpfSmjZhSIrnqT1Wytj8EkcFPO5l3
rkXLUVgvha1zrr5KgCYGLomG2DYv0ODK5mHMhfWe0m40TGaVDr3gMOq3mSUOA0WEQU4qTCIXAFgf
f5D/m2ww0R1NFTmoImem1tAK1RhiSwhQiZA1cO/p7Y3bJdmxNBkTJzWVQ6ub2rqvy2ZbiOnOaKcN
wNgl9DRYuEPmY9YRWmlIeobOWDqUDPG8haeO/caJ7mAsG2fN6N4ao3suG/aTbi4hDmks4x36E1Go
onNesQCVDO1nCQpRg7VJ5DctkqridTm+GSJ4EEHInKIW6QEtIuGOxwjC4jrxGJJ7p4BDZOm+aSlt
yiBPGODjUNCTqd2BQdkIO3v2wKbepHb30bpRsNccyuHB/szs/OfU2p4vx6EnzpgePFB6mwSINEBa
YhjgPLG/6XddidTc00uQNxbrpW6gpWWEtj8TTxJXKiLw2XuxSg2be0afgt0MpZwaEYq48zpkK0fp
t8JXby+qkKFI7D1MiT5Eb1hopEBwNnrRuodpUC+qfFje4iFwIjaqyBa+CctST0zJdpK9QM2MthHp
vwcjZkbTFNPAGAeNh+7RGQGiA6GxnNqt11FMFww+elt0SKC1FTnrUE6jMNj2vbwj6BVxs7TKjdfM
+06P4HmpjNTWfNoVjHkGV/mYw+e1Fs0IG+aBNO6cPF5s0fQYYZFv81RhEOFFRlY4XbLWcxIdQzZ5
J1GkTi1takUhbsX8pp7W5tgS0K6ISr+xG5rL1dy7KzHR+zICjSFEK18zjaZB7p7mVswbq0Y9UQ6q
RblEVmnVJwRNVodAhtmmJLn0xsux9iUhXf5KBh0cJlJ/A1ZhqYhjJmgsYRCeDEgWQpeuITzhdOs0
96ZeiU0kNYaEIwv7xKLroWzWfj1nWEgNNL8cb8KBmDHDFGixUY7UU98DI1aVHxLueuPY8jyN9IzL
Awh8ZrEd8/3YsUjqLfltGowyqSgVQZIy2RHkh5g628YBAvkmMl51l+4yNOJ809JQK5MpZpEonr1M
uVD/coacg6T9YeWPRpG8CEKS9JEDMozngT48ixGtMNYdjLFDoRJ8S5xMiIF4Vak0XhZuhdlITuRL
CBgNzElLcWy15TffOEt213u1XTm8TZ37FWT542i08znvenUcwj2h44gv7Xg4SiNEae6xqO9zulCN
5568Iv8hgwBEt8YUv0wuY+Q6B3Punie2QDZWyhqqu2pQPs5WWq9MGpNAc1Y5tRc6rhnvDfOn3Lbe
8pxBlkDEljgBC1/Cb25MLctQo+nfZipfgKnr67HSNuNABH2A6LNn/bKWfZutK93yixTpQqQeZsfZ
gzZZk8L0THlW+y58wVVOBunaDAnrVEPN6qvdZES5RLkozhWQLXCxGMYYHlQ46j2hi7uO979uZdic
y4lQeRG9T7AFdzbs0Hk9JTkpoK22Cye6SbnhzX7t9JsewhJFC5Nt6Dv+OKpkH8QzQb7Dpc5KojbM
yI9iuld6hIq/TMjtIwgAs+KyBBJNBqlwr6ue03TsncNBn/ZOR/elgSCQCnKvtIohfRYl68K6tUUO
iiJkvCptjIya/ksO7ZertTwtvCCDno7Ud3xh1XOQz+6+Pnljaz3Oho3vFjhnjiVtpjjx55coia0t
DvB55+nYpxnmWCB0DX2GOxtJhik1kEYHrZBjNPtY0qUf1RKjMl+qEGpLOGElVZLM1HZCW5tHpBA4
6K6G29HjLDEw+1G1ra+8CTXk0L0A5En2WZZfECKMRoPhEkF9rfNTx+1objTRQDOhxd47tQNxDcTe
aIUPFWyz0IhWqkGqCIDB3lp1++F41XDKPe84eSxXPFn5/fhRyFujik8Kq/BGOC4joClmHe28Rrp8
bLMxX3W8V76mBDVhHqQUkOnTFLqfsezlzpxMb6sKePhtDw3P4lBWTOm7TMXPtOULlfRJPdnvI1m9
A+GALZGrt9yImWto5TkOaokIeDwM7Lnr3CYltm35FmI4aY6AZFKbj1qurau4vwsrenu6Dxxb27og
HbyWyqku5tMgo29nyOHChJ9BSmcnSCe5oRhbWCvTmXSTcx4JGLgtKoWtpVdIjiuaah2rXg7+Xn2v
eUxU2rhUfrUoe5O623tOvQDw0X9h2JQzXDEZUnsqHCK1nF6sMces6MYt5mOlbzxZH2u4MgAd3kuD
8/CQCT/V6R2VRYpSSNF8myZxabAWPGkMzYZYvedjolaROaCbHFKHQJC3Oj3avbFAAPujDS2MvpSB
yaTIuTahnQMDTqZ1jD5NAiSPY6QaDeluq/5Lm+dkJdqCT3rf1nigByxlEQzsjS0xhw49TD17CpNt
ELDUm830MYjseJ11zGr5NcoVBNRNn2lqo+dMjFhF08934eOx7NgTZX7RnZp+l9qm2nQQ6CbGnPEQ
gDjK84L2KQlDG05acAaGPXuy96CqU5Nto6lbOm5oBdl50DhVObzuYU9KmR8FDWPlKWrv6Sk8i0zH
t5GLHTkWizS4oQcydh9pB5fcttwN1TxRZK12CiamtZrMUUHSbpwQS0v73mY1dNDl/aAxEEumlyTs
dl6a0DqIyE3NQ8EXxs5uEEQ/vILetMjY0ZHVeotfVr1g7h6PRoXe6s4qCuIrynlXZ1aHIlZGvmmP
932vs/IGJncTwIuH6uueQc9UCF/C2zlYimWdjZO6FEGOumU7z9duCKd38j7dpmvoRiVHXfSXJDRu
+eAzORcs2Iifw8MOANfRko/UTFNfSb6hDjaeXxaoBJ30gaiaetObLdKSie9XW373AD2pSeK6EXjZ
q2bDvYyA7STt4lPMeyaQgEpu8hriUyuZ9WnMXUYo2R0/pdUy2JDpgsBa+nyqEucm+uxGeWimNj16
rmLrcC3GOk2IywdJK+GKK3hNDK1n3LaD6eyj5KHMkDGEUfsVaWgqoEWj6mfR4zFXH612rTl4+4th
yeqkObOFCESie8zAW5QsLuBZ4eWexmbHWQADdGOi00WPaNf2cBuVzhZM47C0MvB4G4jiYiOAsj6a
CFZJZd13Dfq6zpoLVtsgNE3U5FpQuT70SBrRjJ5Ly8ZU1fyaOPRKL5pOeZfNbBaNjYgR9dHgyWBt
BcFwVmm06/v5dtaM9Fi46P7GuTp6XavWVROgHQzIbEmCe8iItEZn40iYKZFMFgcmK1dkmDmM4MgG
Gl7nMNQOAEFeestEzNUr54Y3Zd/we0Y7S8yoYkZG7oXMj2bRYZRq0U5PE9t1LiC+4muYXszMxopK
9NsqqVBWKU4HIVv9QB7HdiyiYM0q+BVpRqU1xtdcP0YGjN/lqE/MO2UJlXF8NmIIa4MZ35cIOyoD
hWE11TuVEvFNMM0j/F7S95gL88EyPXvNbHPbz3tT4a0QkLgpC+/pmMyILQa/0IxfHCi/I+L6Vk7B
6g7KuM4ekK8DZYmbpjUZr4F3lIVbbuzYY0Hrek8EvLMT2myoDsPCgTU8yRARyTLC+ZrjGE0Iwnco
hKx27OEdBxXUf5Mck0nyYSMU1XVVjFtRJ8w5RBvdT/anGz5gcagW3k/owflxBuNDAyIZEf5zk05v
zsDKJbPVB8nNcPa3KrDeghJvKRasg9ai88g6MmM0mkIk2WLkStaxMVBWJQwpVV2/scvRYAp0/CKa
9d6YHaESJsJTzS4MZO7ap2kPj3PDTIMYg7QpkQKABWevR0A2pN8RsLXLjFTfKBmVlcs6VrKE06nh
YB9DEkOqPdACGTMClObYfZQNA5GB4RXk7ZvQjPWzUwISk9ioVI9UM63G4nE2tU+30qNP1jbfMmCX
1u2nwpN0NU31zfntPbfpvRB6SZV1V9ZdA/QIBmoIFbRe2L4Wuqx9RzAA0wzMvKqjrcah4ZSjcJkK
fPutAa89r8GHU8TAbFs1JvFKEMJPgVUufGQXjGP/GRhJtTJQipcB1ckUNAGu634XWZm+HV0Ob8VE
QlrgPRdzgn8lux6sGD4F4zkes3dXB4A227k61aPlMu8SOnFaGnR6r/7RD5a/LDNWZSPnzWRb89Ej
oaxLqFvKuSm2vR7ccqBLjq7hWTdhVdDccPWnyqtZG+Yj2X4RpjjZEdih4vt0bKeVdL1H1wm9TTAH
qP5r9eyCV7anmsyOssaWWpqPVsvxr9CtZp2Fle8ITfhoVI0lkStws5zzHD2ekWNfMWoN1JHe3uZA
bpuysHcOygMzczqfhKdN5OLkNAOCBClU8CNQJWlxiU+epV4fcURxW2svLCiqIqyIRUm8nUltAebN
+opz4d3F4PJnDVPnYJjj1stZ7c0ujpe8oJC3bADRchvU2rafSASzvKI9m58DwpOcA/+KFWGNtjdd
545i6hC8mkWxcWcTkX7PPCNKfjRV6Vxc2tGsGqYbu3dePMR3OVY/PC/WtJGVIA6P4Eay3Fm5iTun
a75DGm+bslnwr5U5+x5KjLmiWV+TL7JZuvallpfb0CF7YohCZzcE09kdR9JYHWakMpgo5GqKA0eg
KA4EGoTJ4IgBsG0dzo2BlHUUK6fr3sNQvCSlI9cQDBkvV8UbGYH5zpDpMQiUtpoG7Idmt4gs23ad
T/j4xcCBtNRpNpvq0gg4wWaY0+cII7lVH53ojo2amCYRDsJys4FXoDrFyUqoda/j5dGKWa0lwEcC
WWhHjJzhVonuZbvE0JxNDUYa3o32ZXfygbBU+e4JNFZuUn0k9gjoVZyNxj5xrr0M/LIvVQBFXTOJ
UCoUihXFPphn1jYp3mBMOruggSMjUDMUp3TAyJ8gfc8HDv4ttixOJCNJID3nZ7v+ysKCglR3kRfD
viwO//XVaGruh3YxVEHaBZ4ty+Tu+vSwdtyJQfWyiICDtmbhX+AOXZ60XPy+mdc2TITr7T+uXv/8
v3z895/PfcP7+n3bcZkwDr4uhl/8l6C+IdUTT8bF9dr1QpAkfWh6TKq/b16vXe+7Pvr7yX+77283
r88LoM1U/ZfeBJspxSrs5WN+CNKKTzMtH/GPq9d7r7dnc+QhkUP7IOn4kfVJebhesHXhuP19W8zB
f962Fp8tPpr4zclnuUtnsuqEpoyVRSvzQMrRzKcU7d4KAKNXk7sLRhNajsv0lKw0eYi0SB7mKHDX
nktJc73Z1vOfD6TLUxzbYvIARu73H1yfdr0paAr59hAdr3fF0rIOo+HiZOu01MK/DLfn+rzrI9eL
Mm/4z1l0PiTkI2xTm5xQ1la8jevDrSHlvjS+JsuQCIa9HnerjVYghiJ2pHCAsrXQipyaYX6QcS6u
K6a/VtI+tgkDmr6ZmpVd2oDElwtjbBFERGUzo2+cUYhAnXHK9nsUaC0KV9L9TPT4mHICtxomZpFS
jAuFAHAZkWOxUKWSBRRVXDfw5eb1vjwfkG53TtPsmrBdl3qPveH6SB8W+rwJquJnNtCV//13mYo4
oU6dfQiAo/np9RWur12FYiGPiP7Ix4n93//fH//L9WX/eM71obFlkqIPBa7Qf76p9J/v7Prs6wN/
ee3/68O/X6FyE+V7HdHE/3ypv/yfZezu4rQ5ZjoFMMwsDn/wpX1besk6Cr3HAZAmHQV8dg6puymt
Z3BS0DMIvGMYJmJalz9SS693Th0wFSijvZNOxd6OErCl3cBUKWWO34a7PuoBrWZ7EaJbqUtQXiBW
1oEnfvSN9su2ovzQ1wziSZWhC0rlwopTssqGVCBsm54YM0sjYOXpFeYIAQYGEaRGP2D2IWxaAapt
aLx5TxRg5TkdOKR5tYZ0VtM20HmDdRX2NWYlhvV90SD8dFmLWCNQAwXDo8h/9mEsNg2Q2pRaYN2l
06WjRbfGLo+6yC6fWpsBQh1BBtFRUvR0ydYU3cy7W/yKcWaF+3rUHw2nuKO8Vasx0xAixMku4xS8
6229uWkLGDwLqVYLyCquXfxcZXfJ9JKTWRx051FnsNQxwdRNxnTdogbPQu/Ql+O0DlJMW4lASyzn
ambXAorjoFWG+zEhlHQr0VxKZotBchcFMzDh2UNCo7ffMkzdzZzUztrw9GMZDR3y0wAxugoOoYsB
RHO8V6IKYWiAxgzDGAdRh6KnUDTvxY+uS7NtU6hPMlHTLCP+HHAgPqj0omoW24ms0FBH+HUD1KAG
w7WjJT8caf4w0g7zrKKZZk36TtpoxyMid1blXZ8iN3Sy+hWXASRvF85J04bhTe3SJ9XTWHIKVDNA
Do4PwiJ3vnZYO4TMYNM2bo7OIM7MCZq+fao16mKdlWlbwDCZFJTSbjwPqX4aYKiiH+uSDYE6t0Dz
6+0gyTI0rM+iXvq2vB2xZDYOmSFA4HYgAwuMMWlQ/HKy+JgFA8bxsBa3UUEPjdMZTKFY8J1kJCFB
GTE1KLuNoh1QI4GZqpDwsFR/01rzp52KXRFiruBPb2kHsMNE8yUX9mNvN+OF3qMRUqylEgWYLR1v
58CjqWmGHISlTbim0nSvu6yCCk8cneARHKq8bzPjlzRw8cfZc0iBgqO+QLdrvfdKA5fSzq/RToSQ
r7XZSHZWuuh67faLYeCy8BuIR4ZBemlLTHxml22qhKOameszwxVqVrNgpI0EVhUE9DLGMoiWdb7C
voleStpbQeBV62iIt/UAuC2gr7sN8uCgpfGeZuazUVvBvuYbEp4paHWW8lkv21OWe2jgXA6iVj5g
q7Pkrjcjd9dWwa2K4uZgWQXHkTI/0BK41TBhjap/r7PmQ6t4B3mFCDYP7qtSv6hoZOnH900QTS8p
Bc1u+tZTW9w2MT4BQ9HCE5GOmgYdVhojA09k8BbFiKrnQoOpE+UUnXiACUm9LWfI23BdW+gR4ovl
GooKbV94GHzD7mihsBsw9qgGpBKH8y1ZUKxzRR6iqc3rz9ymbaAgJK5B6eu3Fvo2kM8o6cZUkWNi
DY9526AyTBDK8N0iYG4jcaamB+CnI7qdimPrxOHF6Tgnh4yFLAvq82jqH27iaahhCvSXRvo8ESHq
K5IvONw48txHwVdLC63TJUgMeLfHseN91V1yidsKfOBs4p4NOvbuse+RxUw3Xk9nSoaIpvohIO5g
NDaV0w5PXTkwthyeaqU0tKXRT8MkOrWmWbBtJZrfUTd0anhelCkxGpducSIOngfym0w+RVxAESbG
RvR3vEVjbaigRTFK68MaVe0XMCoZ46OEHafyWIRDCzoPNSlCDn8WQm6GBFMFNCBCeNsbW8l8D3va
PErCKyCLDmi0FhIC07ttkLjtvg21u3pGF8aw6rmbM0xN/f2g1LwyXHofU6VjL9RC6zC43VcCKZVG
W/E9JiAJhyZaIia0F6HVim+diAwhIWXW7XTUpIuxrSMFKelo4ZcmDR7TWTCgBWaLenwcWwM9uBXT
LRbr2ajmY4u4Bo5zfruIzNhynbInGqia802T54Sv9HdCuwrQY2tDgsAS9uk0ftei/x/GOT1MDT+0
N6uzFcbAaao+oI0wvjspGpBsHO9S+vaHoWKwkrvYuMYEkrBZenttTN8HBK/OOL5nNsN0zU5uu1mg
j56wWtgGFiatMVehRAo/9dOpa5LsUG+nIb/PKp1jauH9qApFM7/F4ms3L6mrxWhmqkeboVYxx1BE
bc7MuXC+7WVXJfQLRll+agZ2IHp2VHvz+Ama+jxoUwU0h0+f4HjXNSzZbo4FuY6edE9JHamuV+/R
5eQ1QgQooLxcfhhs4HaMmbFBLfddH5hd2Hi1Yz2Vqg2PXiTf4gyyYdKQ/dItBJthudCHFDNFWDxH
IooOUd54h8ka3yIBqEIV5nTQqfaQl3DRCBluZI6cIEEHdSTCVN/XRIOTgXKrB8rwx2UNoDmsC2rW
ka4qdV9bIJ/XC+Of1643/3iLyx+oOGYwt7ne0bcG5dy4vHN30J/APwP5cQZt7eItRxf5mo/tsSLM
wqd8nGk4TWl7cA2XqwzSCaWzC3OtewIASeP5BUzEvHk3Q7T/uofO81rSXy8sl03BWC6uN8mOo4PO
gm1ttaTipMFHSL7V/MebMpUa5k07qfto2cJT4NpryO/zjc3ewuKSRURtgC4pl4vrtb/d17se500b
g1FjQMZPlpWTEBUlbWh2qC9TeQ67jgVdsfyWvy/UUqN2sQxXGhPnlUWeVr7TFzLrFZEapiFrlkLz
R9XCSlguEkciZbrejhco61zTjfEyKNZEmaCrd/oKxQtk1rx56FtX39sOxCIiSfrDnCHkFW1NSrI2
LKQqYLGHrsJ11pTyNnJKDhAA2A9TV5qH67VmCSGrBrukmUErNlwYsbVpLrWYZMnBret7uF6zWequ
bQsJF7lelaz1Q6tc/YCOvY/sYC9raCZGiug3rEj3pF1pTfvIfGAsUh4K3a39KHGBsqn3eaDOY62X
rxgb1PyEpbYOQoFlxyGrqjLIqlJm0qw7zqGE66E+cAwOlQs6Gdal5xTQAiDeZAE0hQpBacW0blIW
aQc9axnmmBdi5mJfzx02J48l76aNxa9hWcdcL7rlmj4EiOln0g7+icklVG/Ja6Qh0jRucSQdDvuS
4IQG1YusvGRMYhTOXNBf3ZftrPsj89HDvFxcv//rTZOWYpbTzOHrDgHoLb8BldufF94IQ8VFK0AC
Nxlz18gqIyK8iv5t2aF4qSl4vQUk/HsDvN6cEjzl5TQH6065j6Y5vFcVnrp+XrSSyUwSR6SNnyb2
eI77zn4Yq+P/yK1eRVYrxrMBjHD29jR3JgK8OfPSswY+mfplukk3Du4w7WP+jlhAJLQJN8ir4Tlu
vKf6UzyVR0ZTGiJVlNpLLQhzOaEgJmRo5Zyi5/kdvNj3eMfEIniOnnK0Hr4zQThd5b+AKC475ejT
9mSCWOFLYhQw3ZjWZgn/Wobl9Fi37VuxAMdAkGw5qM+P8KSbAdDrttN8qI5Rv9MeSIL8Krk5IRu8
sRBDgDhiBvhusPvqa4Q57Rv/lc0sDvlXc6M9YEZjSJjjBkd4Y5/iT51VDPZUjz+akTPgNxZHvFNt
sqFybkYfRwjRcpH8QgwDrKYCNPqkv98DsNrEF2Ka7RtsxggtngSdUrHFdp4soCn3NH2FF+OEOg1w
wQZ/LEQCEsXt74rTGUFBj6Szno1H8WEegkf68dR6CjuWCXv3JohO1AwcVoz35HW6C75HvOGvAwzs
1g9Pery3MPB3q4GDts1CcmvVa8EUCzn5CfjsXLHovinf2A5wwM9MJ5ganbJj8onjktSCYKNb27DB
UYAjFr0Fxl4AD524qWNGWCvkcYCihguVGMcNJPHe/Qm1hT9+hqS3PPz02m07IZU/Tfi83ZqTIRlH
O895FJn/F1z75Q/W+X8ruvxSxkWr/v2/G+7f8gw0V5Ma5QSBBkhTdSmXSJu/hEBU9Tgkmalj1NQO
lUCyskl/ER+/Sz/JNnuAcpqhW9hqwSV21lPu01Z0Tu7t/MUWQl2LRi9b2C6Tvda3JA3k/BTZwklN
Qj9y90Fxgdk5VDBU16bwhWcwY6du8A0kf28QTVAGvsy/oPtt823+DoXjFg/ornrp75OH/Kl6IegZ
69+6+ZkcINa+ZT/IIDf9/pwdOPejw9TYYDHW70x/YiLhO/cczNAa7JDNYKdGPo1v38TYNPnGsLLW
7B3kaq9Rls4W7qj2xbkFwzzSzT7Z/Yb4xJ9N/20/5SdwvEu2CTaKjfMLB5ScV/aRVdoaYNp78okY
Uvumb438dXhksPBU86NjtYFVzCPs1fAayK7aISXbY5gNTvKeTbZl/PiA2Kx+RWLhnsstSdFbvLr0
hjO+vwOSqHcnpsjeZZ9o9bfi3nyBgrn1NuHP+dPG2G368VO2cBqNN5I/41O3J4nNt874Qq0P4jKw
T22w3rf3YAARPOevJWQRXC8omzbInTFHsp86uAE+k80q3hcSXCs5EzfT3YIAeDK11U/AZLGzoTpY
E7y13gGzBPbJBDvCQHjsFuPFEZ8COPWN/sCwUo+odE60yKGLL/QGNltkfOdpTZWxFvUOIsOejxhu
zYv+nef7ejf+YAnOW+UE7stD/T4dvXfWlT6V25bafCdwDK0X0ML5XX6gJEQhujkkvrv5F1v+3xKl
/tjwbUPTLduxPc/4W5oVIHuFossYzobbn/EsRevlGMPm9ex4b8aiMCUBb118YJtB2YTR6BlHklqI
34tW+V+8mSVP7K9JBMteqFsWimfNIvvg73uhTNrRJmBoOJPdcbP8azWiNDcTXxGINhw2nD/W+OwS
6BjMwe6q9i5kgIvN8hn/SHx3fTv/P+/iX+RdkEdhkUTxP//jf32N/waC8f/Iu3j6Of5Qf827+PMv
/sy78Mx/oOTDmmHr0mAx5/Bi/5l3odn/sE3DcBi5GeSDLWE7fyZemPY/LM+2PBcpuqdr+vLjq7Jb
wjAM+Q+XrAuLVDXNJRFDs/9fEi+kJf+2nem6IS2DZA3D0jXbtAzCNf56tGcoI1DWlhq5jk1PPEv/
iIQ9xACEcKZ07FvbA4tjBNVDTvYE1KnpVHTeOp7lpp94ipFVJxP9NN1Ldyvd5sGUREgr5HsEl8J7
n6mF+ifPYocxPQy40n0cWv1EEbxuIgyXQR/BQpmt51TY5SrVDHVCn/Oj0Dr8VJD4ObWOsXFn66xh
YxJpE1ThXRXsGhfOD5zbuUgpoSJGRLSNsS3I+9pUZ9mMLsTfIYCpSltS1OaFQFJFD3z2B5dUY9Y9
RteCup7p0oivxPOA1KcGp+CGQiUy4F3qxnqAQZNl0NlnZ9+QFHfjxHq1cemrdnr3ktMPm3UkSqZX
+ELET8pbcEMORIQOY8NcD0CrY7zbGgzqqmMNFqiP2oUN0FinzoEUP+L0sR2+j5U5OP1Bbw5l70yH
OKvzYznAqB+MBaffo3yhm8DMIXH/uGWNtXF7vV9vbBOIi3brOpZ+ngkjuiE2yaOYDE0+haVOmtTH
oxKmTZrVrK8N2xN3BUaOS2DO4aVE6lKUw3yacbOAXGjBwcoa1f3MSNnNMWtdb3ZlAKIWsKEGgNg0
OAmizrOenF7hGXEAAUgGtrc9Q9QwKMSd5oUg8kK8so5wg7vrReNO4q4yAOmbn7k3Mt+bnda4cTMb
BWhYdsciN3x0TNynQeYSAb9ygkkHqmGOGmROsSmbsjRZcxs6jtnCAZvD5r1qUbqfhsJxTg0gsUhQ
bqMqd07eUDKh5nXoQfbRZWxIDI8HWs0TcXo066n+G82ACTmADbI1cWunU/eopjjypxBMcefI9rFo
pIVj5Nx7+8jSm2dNlFxoH6FJ/O31hiGbrTWU/YXF4o0+JPZzjxU8KUT8pmVOdqTzOq9SWyVvc0UX
btKkvUmU+TaWanoKzPalD8r+M1kUP+NsWfe9TWeVTOhxEwWwMUfCZY84As6OCMXPGjX24I7VGR8C
NM2MglrTQoI/ik4+GbZ5Ri/W0tQYsDE3xuOIzPfbrfN9OFQ4V0tIV7qwo3dUzRTGnt+kmDpYF9gP
5PwlH3qgi5tBL93HiUb5JkQatlUDuQFugdIlo0+xq/md7+eA8KY4deWHO4f7qk+Dz576LRDjHdLP
4Vk5qMCWOTUhBqZ6S9HbZ5ic7mSAfEYbGtIJBDoibxrClzR1LbSwpbVxRy98yVMTtrUMNZg9POoN
hq93yPQYCLu7tOqmV0fprxPy5ouyTHqcDbEhLppsxGOq/85/CL0KHtKZ7hHx7UdWf95ZjXkM/BuR
fTbGQLN0oDVWoaqnyO58mfBfZwq/UZ3M/ZMbNOqAkPCZ8gCUaRb+YGZUUzda86XUtek2IloKnfUI
JGGJ1q0r0yEKHFlAlnnjY0mY3GNhGLtOAvcaVNFjnOL+IcIf3caTvrk+w1GNh84KwVgfQbV28gmd
lDPeS6sdbos4Pvy+i9/yf/N1XsuNw1qU/SJWAcx8tbJlOecXltuBORNg+PpZVNdc3+q6My8uS7Yl
WQE4OGfvtbNdJJJj4mIr78ayfhG1Vexmv8IitVycJhMKLtAgsygipDE6R6cH8LnKujsHo8jThEvX
zYZ3t/Gh3jdx+diV+XVSdtHN+dIYDfjXY0ycGZ+JkVP7IytQsqIJHV1NSSZeCoGPunWcxwlZLYeU
4JniZe0JQh8raYLVW3xUA1WJ7SIfFWlenOx2zE8GirnKUunWj0zmyfWITiqErmBaA1nJvretvNB5
qG2X80IeNt9xsFNNqq90gwHCNTjpz3lWnkAnw7xj4bqItI450mIdFUH1HBGf92CUsjgqtkvS3pJ6
69V1sq9d6yYSOvnyfXnj58L4HLeKKJ/ci6YXwy7x/gSQr84X15XGH9uqBpZrZ3uvOe+qPJbZi01C
3dHDocJgpvBBjs7dSvD2wsFfg59yo+pVbdjy21cxDyE8E6Resu5/tMHnidw/LK2FfnaNZcaAI+zQ
6tDZBks4uR0Z4V0pIfYFHRZXQvXQyOvGvm0nrBha8BFu0IVdqKBY8mnacM+4sX72Kl6UwuuT45iU
12FVBzfDjF0fFUlEIpVMn1CN0RLKp1dUP+1W0rh9QH2t7nwN9sIW0DQHm7U6dOu9U1X5FV7Kq6zx
9a2d1QYf81S9tA4IVDLsCbFSydPYtZySvLI71E2SPJltg4ZZ8B+df8pAzcsMKoJiJgxJQNByvXa+
dVx1J6NZHf9et1wsNe7JuhDPYT33J3/5cv5uKHk8gyb4ox8z4Nwe6t3zd1k+gnyd8TYVMZkOVsTu
S6MdaWvbuWs/waWdmCZzkwz9SoEYlbnksPey7ocBKmhdrcC72IgrUS6wDWJWSMow2kqfFs3Mk8D7
x98jfgHiHmOHCJo3y5UDCUHYpnOhDuhIt5ORsrEPDlVO64VXdQh7qezTa9p0WcuArC/uDFZZAL+Z
3Brut5wpiGw2hV0hZsR1ZtccdQYqAMXWwxAmmP/SUO5nKyRu1W/BpWb1wbKatygodjLS5mbU2bB3
hvYPizD5Aw0Sp2gCAOFW6qXxsvSk7fGDcGOIaPBBPIf9QWW4uOvpIdF5C2mNmbbV99xtS2iQbfeX
lvfpTQQypA0rarYaGDtddO14J52ZuVDb/IQJ2BPVinXjYgfpepAGfUjqiKm/rJEWT8thrfAkVngD
32Flp83eT/GaOHb3SseLVEblsJHm5tZzRw7ESQ0+GOdAHdSfEerJCz6tz0bvzPScEHvjYJ1wsAdJ
8Gw15qcsjFPvCQZOIaxP+82v490g/TtVAQ5L8+HbU8yzm6bAEZe4T0y4nzPP2XVu6O4ahWW6nr6z
GleTkwMF6scXJ6w/deUijp2jI6WGZw1yLSYm6yOuyzi+i2ZgAM4WJbnehDp8rwLOl+WXQvzpZUAd
AmbqO+Jd9UpAsevpQ00D7AQnd7CRJNGnmdG1FgV0Q9pXTf6ZpO3rbDvrOde7coIBNiTFVSiZaAyI
2WdHvlS9eAiZ+pLeGGwLpviEpwwMWYbpOSRqtUZWUEfOPjRRtun+Jpzh503emnfTBm3sata3Iyly
fstM0IxhsFrGRzZ0dyIShw4qcmq4+8mjP8NKDLd0fPRNEC6VUXdMh4i9iBWaO0yYVTReZDq/L73h
0UxmkBY+yTlW2qz59DPq8EEvDGQ++iYfSZpYjenQiUgFZmsMAq7lXjWEAGBDfaog4/YBe711mdTN
TRPZGrh0d0X9lEEwYqLFOG+U9DrLIVjn9tAx/kY37oANFCHd58C7WSS6FlOg0itRYzd8t5TdiWCB
KaJXB9v8dR7oN69ojtVcfpa9qHedMeEAcMiWaIeUpxEdkImHoQbi5zR8EIk1XXEQA9EWTIA08ApY
aUb2uM+stublaWP1MGUFrUY4wqUPmWhaurQhqh3e6vQ9fJcIpkg8i8q6zgT60jGwEqiLKQlBQM07
AGo02iMapCk9XHOkkNPPXWG9dcvtSOm8kafHtD+EJO7T5Jvi78bmM2IZzaeuIb8gp8NL8+QVwTt5
on9S/4sd4BY5Pw+1RiEClqzs/B+/mP7Yrnll9h1MpZKcrThRt0TgwfShMZQY04e2oL1K+1u7w/cE
4tmuv7vOpudaFVd2GR+cjpfcyePP2EnuesZSOD3rD0leAbZnqLvuBHWOvUgn9btLTx2SjL/znXFf
xfGJgvlVDvolQsjXue61Xwd3uQm+ubIK0jDGN+GrU9V0l3ZjHCmNTMKJ469YWs35DVjYGAZJzN1q
lS7EFfemzdyjoitKv9s1ELh4+bryu9uwRH09tMR25bNDuw7O12AMtwZUtbS231Ec3Ebsv66B/KEa
CZXRnbrC4bdvmMwjAUhWuDiJwL7VOqx3avbAXoAdYL55E+G23/bxtm3BUxoqjsBKx+vaf7cziFrN
PH8rH81EmzXHDlpQkW7iFAIZRQMqb2Ree4uEwC43+50r9a1PM7Fi0h8GCjy0l25tLRuGy922HJOT
aohI6XsJK50GkbQbsZ8a8t6N6gPNqzrY3gjxSBjONef9rR3VLfVGhTDO5XwsfZ6DYB7jk00Lfgq6
+NZrw8ekan+yCUK+0sCyLGL3bNsn8yl98JX14AZl8phV1ksYsrVHeBHWBpmy2iHJhCqrOzgBb6ky
gDWA7v/GbvoXieb4amhN8lCSKdtmEPFa2D9TvA8MqOJNKu6N/DFhsHNhOrUNyWCRzukbTn72OppY
TSKNsKchjcSeoClLF7hIo1NnZ2BXY+12n4k3r6CclTdIqtKtRsO1FiGZf7xqR4P/FPzEYbJ0tKlF
fmMYg7luHP9mwOm5j0SB/jdIKVraADR8P5PzpgD0G+O723rqwDnx4MRxuJn9JYHNITslrczLtuAU
X3biS/Z4Yurc8MGVIdOpLXyDZjEBceib144BRt/6m4mD/0NWJBompfthMrpZRRVr37uD0maFVnDe
9z7nZpcXH/8UuOwq8e7iKdxyrCUApPXvGThzmGitZ2FCXetarO4GBNWo9286p7ybQhZ4LxenThnA
09LQP6KKGdhefcxBlz6kAyAik/GE4oFguyBZt0Hy6uQ5qiVnOA0luVoTkliFLXFfZ0W0kY3NwTrC
Kabs+rJ1mTmmeUyr+ffy+UorcF8yjHib8/X4s0nrPLsg//m988VUJJecxprd+U9bgs+qZMGO/Ocu
/l6/3JkIqQjxpl2db/J8/QAAYmw85kM+G21oReVReFN3kRZ0l+1h11mwM9vqGhoDIrLhOy4oZvtJ
vNLwOCWHDlUojur+wCj9hgnxAXsR1CBwk6VyX51E/0Gl8O2l03djAQtSmH67wDpYw/A9Z/B0qip+
ZBM74v9rAnKI0HHjVjHBi822+Q08mTNlDC1anqoJe5b+mmecMTkaqQvtyKumdtd2UpaI2Whvez0S
XAwJsOSqfmku80Uvc/Dzd3Me+pguSHM0laf2itn5+YfnL3HfF9t5cJ7IDUXnYyYfRZy7mCbyPdL8
huOqd5GP8OdxuUIaqAKmE3Yk0DcUHZNtNbJd+6ojtovLNWd8knL2WZ9jQJHMUtAk0LCqYD3TTZoC
9ASoa0hUdKjOZrN4ye0ZkuNZHzBLCERx+j77MW5lKzKPQlvy7xfzP9+59P8opSI+xGORHX1tZodp
wYCY6UNeIK3rrOuFLmK69ODEQ29Gz/kAqjwrkN+B3HLaz7gLn7xk3DOAdExIFO56QHcxWGJjGuUl
TomdTucTwyNmdLZ5FRnNxnZAYBEPm1R6l4wN55l1HnPo4b3BIQVCl3kMK+TbHcq8wuao7yV3ehmU
T4phobfpA+O9kRE7g1fiiQi+6sk/oAYE2FteOw7lLJEhXpDfITU6eiVk5OZujNSpLhtILChYIIZJ
Ybz34bCm90eJD+e6wk6t4nc5i5NFjjo+8QiBNPBKIdDxpra49UtUlfF9iXZpj6flOhhps+OEdOd8
O3f2UW99MnPxetdXtkh3xdgyzoMINfkmnp30JovGBow74M+2HHaaAzU0HNT/ncc7GCnFY6VoXFb5
pcMpys8fp4mIEdsMX/C6YY5IOV+Ml4F5Y3vtAIajJzmCAUmbIihN6vzWTA+WwF1rW/VPVk+rAGmH
P/ndEXfUpePSEfBLDj9jUEF5hvQzUrU4fnUwy3FCfa3rA0omSNWAW3t11RThU1W7CPzt7AbtJabz
+mayS9A79tsUhowZkSaxNV1ivFYORqq+q71V7MSAqBAezIpkhHKmvuzS7VAVL6HyN6OEspcniw4u
Th5re6cKcNuabCuaVMQB+J26qNsHJAg+yLHeXLVuZF1A/3mKHRZvW7cR86K3mLaDj46ZExMj5O7T
rjzoQQS8pUn6mVaFv6ZxS2cSE7U5nOwsfx9D1V7iP3DXJYglVBL73o3jVVHjrKvC+AvrowJcS/Vo
kS0PRWKV40tPMzDkCNIeU8iOHmIUekTDa7NgSvv8e3C7F1QUGKjnzz5oCPw0smrrmAQqI247FPND
bmLOCIQy0JXhoxHGE3aEYG3HxEJMygQ05IAT3OV5cl944gZjJRDE6U4jpznI/tW2u73RvyiP8B1Q
CINqDiK379OS9AiBDXeQ2GDyJoENpp2f1rBOBh7eqsHC0EwXVOinPMQSOWMqpody3eX6u5kTQJS3
lmxe8som2K4GkC1KfGuDy4rmgObWA1NvHUZvqq4+Jf4uqzOuRlvdhNGzzwfRwguIgQAurB/eSXSP
pITkW5dIhKYTLzZIT2csHyLkUh2xdH6eIcjIV13rPRRpi2Oy+siaCbxOEkoI1oCV+ky9xXYQ7+rZ
/hOmiGTRqqJPcKrHOM4ecPD8xCwU5tz8kJKF8ri/ywVrjievxi70aGH+mRO0XSwKUhY/fiBPvaov
J897n/CZqDngjNmuOxuSWV3R+9eyItwNoamXYRsFcWe+tfaY7oN5fkQz80CiHx70DZ+up0oMd7nv
vyMlQpmbgFwYFNwkj64ZBp19MD2pove30YSIZilVkdb/9AbpnKZiSBhaTy1bgIrkjR1gWhRMUSVR
TdXsAfHhKJjO0Ymtb0u37S4HWGQ4n9A9iJLGLJuZb5a8VlRv7lReV/Nw6MfoDt/ovWtTlM10ihVt
D4comyG7tauBMMYESi15050Dhy2wT4kU40VieQ9N6oJMmA6ONWChRghvD/JtEAF5SShG/cQkcgOj
VQR2Z2hMpvc5/26Vg+wTWUo/ZKKCzjduRMEzV+Pd8hSron4M8oB0V1aEjNwIs48/Dc5l66lmTlzy
L8Rv6SzpKXflup/kRJxV8GSOMGpdLixGhHZuWT1xhhwcHPl+8qk7ZzrZSQxU0DFe8yR/sxJ/OVoF
sPNhMEaYkIenoazgdRTJzfmD1AMtMuofio+nIvEqMj9yQuzgHDT+beOCbh2mgG67QbSjJyTnD8zQ
kxhfPJd/ysS/DbySw6IL7xlZ98mUnIvc7IrxGLelEX3yjmFHJ4yZadcuVuJPiKtNZvFtMsg/uYd0
XQXNbSR7PvfdsJmqmk+lyRPYpnSwl+N2ReKgqCJ55dbYrGUWXPPqH3RZAsCPaIdgkELdxWRZLS7r
yHdQwLbAwTwXcozz5DTu++igPPLkUxjT4NDDDzXus8ofHJhI22SC0oFKbM17C7u+NSCcdWP2Fbw1
azXGEXXkdBm2GNY49IFqcAVSP3+bjQD6au4/V5pgVWWzoZrmn8JH+NkNWEuc8OQo9TTk46rokE7O
Db6uvsM32omjmc8zkgQO2sHCYVGTQ8uVurSj+SR8qJaSodsMCr6ptijOGB2iuaVDJ99m+VEMkPkY
waAFQb4ULCtkAxxq1B+uhT7RH+KNW2h5he8PZYJfwLFseXgj/gDW0X494gRjK4NBAr2K1LMZm0Xf
eRCbCMr07K2rIOu0Dt4d8s4JSYipJmQKGqvuY7lLYsTLRuxuwFstrdfMv+xjH6umBy4siZ9aZRHV
2LbbtifugrgeC7qFasBzARKb+MxFN14e3HUmXdLeeuib8aW2gmsdMcvIG+OVjq0jcIWOwMT2BUAP
+GcJ+ywbWpKAY42nfTJDMuGY94OSG6+I5szKnG81jdBTe4+NYAAgTn89AOLxh7Y9fO1pppmOctky
33DrsGXnydcIAdAuPF64OMs2KI50JL17NMm93sZm9RzbwI16HoCOUZzgOqOHFCioBBU+Wsdfq4C3
uKyW6aaOAB0XAJjR6pMfQlzYaD5FyOeohIx1pOYlIWz6GbGpY92EkYJ3WwSJSe4IDJAw3IrSqq5l
r55lwPlJdTek7/HykjpAP2lCsW1UsbVWeJA4p2DAaLMnb8ZsBUc23Sn72nOb8agFHIA8quRVXBQc
H6IwfhY18KlmwIHKhA27Rfdhz26ziohp9wj9KUdcHyCNeOJiBFozGnafVwkiCTmeJgesLrhIjPFR
ZPUJG+t9HFQc0LIYwElADqnJOGmhWhYjTSz97ddix1zlJZOpeYFa9GkcMmDzjaALT4qY49YHYC8z
lsnpeqq679JonK3RQcKgzy/rZ9kzl3YTj2Zekvypj2NXoD/UYmeA9HbSG7dAMZRN/jdCQfr/zPVK
2tWGsawAhc0IeoB+T7ooPrsWmgGCvWyJbgRgRlEOKmfkGW8j/VEqwMHI1gOJj7q3lCDCS2wQF95x
oH2MwwH7ig++HyWKVaJX6wXw7wI7XNhD6tBj+96Bi4BhByUpHm1gmMgP5SRvHAaFTohmKvZZ+Swj
Oy1KZT3GNk31dJMxTYF9ypZOyV7vOw+rWd0uetScMPe5o0Z3CFHQi9HE/RoWwZjyIEEpQkFDId11
6sLy01361TAyW4GdevRyjs0mnYBVWxqs7DQBuWf06oAiGXOtR6N7d8KYUBCLwliE5ibw/AR56vwc
GUTnFArIx+APCalN/rRWYvxUHlc5hXkLgREZ1XgZMXlZ0xjj2vG+dxTK4xiZQVwdcWDt64WdE7o+
qQ4SvERhQfY0URzScr+fuiBcT5IEpbohqNz0XTjyiVhEBRSTzkvoWXf2SCZrmNAl9CVeRa98q6KE
yKJnlapyHVfAm3JNPo9Fom3pNVvbVNS2j15tekDjYIAUS3Bub24TxvrudZjzSWbyRKq5ZxAOENli
G1ra2irsdavabSf2H0nqMbkp8chGGzjbtqpYsrHzFvkhmybM/ORwFfmcb3LbPQwBW1xatgdq6btK
MexJh/hkWEwbknw8JFnAjC4XhyiX8372KUNcyEkecfVj0IU7g2w+fBXJtuwoEex23PpawSlPenjZ
mIL50BmvVetdJk2YkXyES7w6ioiwFhgreNhbX27sCZikzjUGrwxEj66Cbjv10x/06PMJp9ma6Vm+
FsV9Eo3gAQ3vFCpUdxEpcAyNNlWVZldlmDyEaqDwQGtMe5auHfS8C0a1+yTOtinTSQRm6p5zLOpU
ERDKwKRWl15+qctqNyeXnVneOiWDhZpzNonw+f2go+AFVCo9nKp2jC+6c5u5d3e5NldyYpuxg+4m
RP+1NlKd7Li/j1jXrJoa27FHYuto19XW0uUfAees6tJoPccea6xh9ZuJjogdpddOaV6yhd7XhC1o
CDRrpyevYbSRQKcu9SZYV9C+nqLZ5n2i/yEJVBHWhePc30j2KFwOGJoAPzBjqS8H5pGRJ/+URtQd
VW3cNLgfAUY++RMByWGYZzeQ3RyIMTX/0j6qovjAseRoQDtlfkA7BGnEIWuAYUMIWKWiuJ0UATpe
suS+LCnL3S0+WEYd2BSl6cF5101CIhH4PkVOM6/0vJmz+MHyyYhpolLt8qQWdz4W+AvHsAgTqu41
bE6OHQu8UVtPUFa2s41CzWboeNASaH4bDJuZnv9WYMhZh+V8mxvXNtSdHe+7k5UZ14gKUH6MKBln
TV+CMxzinQQoA66+Jk6f/Fca+sfceB4Qs1sVx70hclyUu2w94tsaAAn2Xf6cAQtfekFMHNSH4PDl
Qoy8QN5wp3VVE3PEK4m7mcrVL9yN7aIrZxr9ok2f8Vtpbae5XmLh5n061Xd6Il8IV2m5zop+BCPt
+vSR/Os4sMGzCqo9MmZORZt710bmHaOUABzHymitKaKdQdFMNSEzoghpVJwEZC+6g0uuIKHdrrnK
TEWoS++Ddyaak8mHfb0AIQcF4sMHlVAU5qpguEy8pau7dW/SyWa7PeJNgPjT6T9uZRsXjt2Ua0u/
srYTLFTKL9n5DWizFNiZJWBVB+pU7HzoxviL9qFRdpx5qX8zoq+DvCJflTJWJRypaMo3Fmw3ZpYl
BCxmo0FmI1zOWLEdFLytpvHtuAH7cwi0wCpzjz27OI41cYeZagTso2Jve91PJFPaXNmPXbX+uuYV
8bVrETWZgD730EWUWy+2/0zJcBM4WFLgQYcTHnk/0U99lT6kNu3NeABjPg9PE/+Nqfv3Kfnonb7e
5OhQNjGmkdhFtwp0CAH6JHir62F5mdL73ircXYH+R0p1GwbBuuRV47hf4EwciQSb43ynK480ryr7
MmOmPAK7bBiOe2QTb4rxO2mCLERB033MoK+ppIU3e/s8gtiOj+GHQdXzrLcs5dw/XVvQ++rZk+Op
m/xwG0606wZdkBlSwf9K8g93skxWTvMYmOIrdFE+j9T+1Lf+o3Z3sbbcbZUOpL4110HQu4QEALWH
67gJaeKuhsrsdn7WfWWYizh8UgHnwmvuVGMfE88JNkWfbRuPBKVcmg99v9dMVRgUkk+Sx0At6hLx
vkH9CWaIhpOZrrOubtHmT2ubjgYM3eLd9Rf46bIt+fHIuh9cpuzjqLbTXV3obmOwYzoj58naJYW4
KrpvRnHk31oIryIsCJo+XTkF+WWEYcQdlyBQhl10NO2Vq3nDcdOsDGln79qj6zV0OuzgwYhzB/FF
94W0i0NUDp3PdCcgz5bVoeZxUbOaxq5KKDalfJ6F8dVGo33Z1dWhhTp271/5j3KMy2MX+fB0U5d+
Z/TgYmjN0+62wvAVqQYDcLIOx3i8HmdCGZYTV5e16O0wz04uecaiOYVzoU9V37U736rFKvEjgioW
PEzTVS+OL8Qrtr/71nL+QC1+jQoZ7ux0IkR+xSfi3qHBurNAZh2RRhEEOlNwVmXvYAZlgcxsf0Wb
CfyeB8oxcnwQ1y9gl8cDiKPqUjjNH3gwzWWBIUOFOF5rC+i4SYlZKRo+dQujru1BSEbOLsaAg7um
jjZNA4rcyK/DycB7q6fpRnrpVR717WWYtOLgzuKGxgE97HQm42SdNizGIlbNvrcl6uBkEJueDv2q
y/BBRkNHgT10V4Cew6+4YMQ2NjWJEMEOp3q+C5kvrYVpbBTWAJzd2BIwdRpGxJ5l8TbwNfLuyX2Q
VWjd23l1CIbW3o2RfEiYRe1HUUaUpuFl5bhyV+Jg0wz2L6UfnAwPsL4Y5ZOkQ+jYGqN4KCAeYNq6
NC3/I61pO06tnW+nwmF4mMEylJpTS0/ahK16Pu9w69F3gd8SybOcO1Tafv/R5XZApk6+KvH7QgKl
QxYS3ppZY7eSi/Wdg/ASJBV0B3QggqXkHWZZvSqG0tgye29XdcIYiO+IwUgE3nGAziFOw1nlHxq/
1Y1UejMUeAyd7DkP87skt/44ubvp6wLsRa4xLpGZ0gRbFQ/3QF4XRS1oWON8+jXWsF6++rZ/MRqQ
TAn5o8BWoWKAAd417Muibr/cqKAwDTxCNPv6ZuhNdkp9OVQ1VvMmOrBOcZoqcaikBquvhbSvCEJs
UJw4vxIfnJ2dJG91xb5c0K5ODIJR8y67LHhT7y3fvhQokw5WQ209VCP+9I1nUT5N0fwOUYroAsau
kBA3omKKkfSvodkm5A/1b53ZEgpFC29Fhfw9tDUEia4Eiw5ZZR0AfeB6CmSFmXDjQfk1eL/Og+oQ
3WIZFC0P1gREFIHH4/HDJtLesWax8Sp7pjssXgTV/drT+lFEbY/LnjaxXSX1WlX9Y5EsTpiO2Ngy
dKy1E+NggqbB2pKFl5NTCuBS8RO8LTjxFbyY2rT0qp2JOxAxKx9akmYTWdNH25Nzl401QinvtmqF
vXOD2dnmzB1WCFees4QScJjLZzi7JU12Na9zr7rWoqHHa4IZ8+vhUcA/2zfrgtRAYnR9ZAgdjBFG
VIc4AAKqt3Z8PCNVxIJYOX9HPwWx5gJf+f9fZ56ZMb+/eIay/P5JTSm0cpu4L48yLclcWW7x/Dt1
sxBqzpfp42OC/L3Hv4yX8+VkivnR+Q/+69vf2//7E4gEnekf/p+P4u+D/HuP7HcwEP77msgO07XX
2Co/upA0/z7G873/fSDne4NnXsHl/c/zQ6wBJcT5HpvMndu/z9/fGz9fe/7y+z8Jb2z5PPAmPQT6
PXJxS/uANw5lMZqHXuIglT6BOOfvQrQPf7/7vc6fZ0h3v5dTRFZ01f7zm+fvomWl/r2uC/PVGKb2
/nz931s4//TvH//e1+/f/XMzjrHIemQkV9Klj75JlIRQMEU3vw+kMQ0mEOfb+q9vq473KikEPJ7z
jZdtCXx9dJ7+Mlw0hMmtr8TNGb1y/nJGr8SLy/Kf634vnr8re+/Ky8pg+8/1578/X3e+kd+LM1Uo
Zx/ix88//f3B7539Xnf+lb/Ymf91W+fr/rmZ88Wgh1QmO5I/6YDsfm/vv5A157srVY0T+J+b+ftL
/+tmz3+TzcFl0JG9dqbzdCVlmbQN4nkWWI8XJozRli//XBRnis8/Px4EjC1/mwZLx0XgeD7/0e+X
f64TlSaSZrSd1e89/HM3v3/7z139r9+TAaw+VJ3/99GiL2xIiJ3PV5//wK4HZoD/3Oh//fyfOzlf
/PfHRkAgy0R8+P98Cv7X4/qfN3P+xd/Hev6d83UxCrLN4FnfKlH2Cp0vMsIz0ascekYfsrDa/jbq
oXr8XS4G69mA1xLOp9isn87rQkUL7zJOq+pgW5kXs4PTfSg2JoEHtBQ5srmWsWxiGVgK+UFwQbVj
+tseJ2RIR0zT7ZFuXWtzxHbrjZYZ0b5FfW1mtM6EXzyKsBX7YEHmjfqxUQktR4OWplcS7AkKZId6
IdrWob7pZHVyZjaOUFEzd8V0O9X6C2zmOgNvhSiNUBkgOUsPEM5VPk1r4Tco0kwR7gopvoJ8fJR1
gPGxQRRRjLhmF0bHJEFPmgVVUpSdigpUeQsKEPdMHV+5qKBO0TKHqayOKUhxXUi0AAyxARBBYjwK
SmGm6PXGznogJWB6RwEYwhtmcWf7rrmfgZlbLsfV0XuhNOFo04MyGMBp0AYj/yTpl0qMGbguOOrz
nK4BOtKxSW9sU5JnBNx9Exo9s1z6MZhaEPrPT5adH8q6PqHSxSDb2aQxNZdVNeVbCqhk47C3U6Fc
xRETqTSm7caJvVp35WGK1RVdCc4YKW1AQyw081ReCIspQNjbyXZoeO6cnggnP44fI2aIc42j0wh9
AKQczElNuMn0+NN5PDG+Dt6YqTMe1cFVNGUpACRup0zFpazrccfs7MrUAnK9RZ7H1MYvjf5JQwpI
IagIxtnxCYm48Iy63/cm42+j9XeJ7fJM27TTa5BMG2rjZ2rJcds1oiL0sfvyklv4uWR9orWF2U4r
eWcZ03RvGnB61WBQmQNX9cLsvdNBvGF8X+xrgwZBreIW+7UcdnZPXDQajY1pLwh2dI37zL8bk6Al
3JMHPc5oPiOsAJei5IWut1bsQQjlGHbhA3tmbMBnqTc52cfGTw+ee92Op+UdZKZuf8rj+ZsRNmVy
x3igsd97wwuvK1N9NoVJ9jIfP/BezEFHcgEQ9WLStAVUhxB3DWOKYd3iDbE7gnNz5FuWnRm7OSOB
wO1BZNKQXajb/UuYEAHuuqQNlQivpgLbtc99uSjJ1mU/A6wcNTgM5aCjMyAOd+HdJMljbfw/dV7C
rRTRx6SNbe8DQxskdZm0TvQTAL2VWLmC+MtYlK/VSMihHOfXoJmwfNt7aXx7QYn4JLGSgyWJDgpS
cTf3ISkiU74OY/04SR9/WnClfKpv6EQw4DQQVSP7zBqptnNDYUzjsd4a/nO8VNBOWoS4pECJ2bqk
F2JUVwuxbgV4hKa4lDfRSHeiYPqqxIfTLGlBE7h21T50WfOEmB5zPZ1KN6jfZK+vmaEVK9/qt3mv
nysRAoXtUjrjoSho0hAAPMuR7IKoCpFPMe5IvXjv2IagTpb3bmo/GylNUWxrec4ZqSsAiJVpfWn5
JGcIqfbSQnCZ59NLFOiPMGqImU6I4p5fZzMbkKnFnyIhXrEzn/wmftK4D45l0svtcAzkVrg6+OhH
BYghov+KGC+tKMjd0PwpyTTuhfuWDs41uswXnQdXtsmvFXI4WQL9HXSudKORtPR1B7eVfpMsp10W
x+5FMpfxfvrj6p0O88esVO9SkTIn+unWTo31ALEydukkYpJg7bYZhDVwTWSpaLC25ODwniCxTaGO
Sz/O0K22RgiDzeJQj1iwsGk1q54zIrzK3PPw+3TVEdhQWzjhHWqUfjOARF0tI2R3LNYghVkIAKCh
wXsdIgW/KMDg28G/u+i64qV24LY6/bTOxwzeWAbYxm0FDZmRiRgq+01n5M9uat7pcWlOv2iXqW8D
lcztEEQk5ldlZF9FQgxoY9HlaFG5C4dYRq/AMaMo18DCg65ESOPnTLXiKXqVqBTG4v+wdx47tiNb
kv2VRs/ZIN2danq0ihNaToiQ1MKpya+vxaxCiQYajZrX5AIvX0beiBMU27eZLcPXOUzlo5noq17a
CIvpUnUsOhsWVmLgG6Y8zW+I3kHzrbej4bDXNKtbdKtVXMJJlG7IuTUcj6XFSyGn7MmBQqvJC9ut
E8IsO9ao6m7jEh7KymuestiS7lFr57OJq205qjv4rPmGgoFDBMJ8FQZgRLuBygTHG04tynroFLDy
eOtuO5ngax/6dOMYaDeY+yjRtYtxE0jjG2LaJQooAJCxRBkY8Ci5zh7V+0lZ895tczC2SuztebhJ
o+IZaiyk+QwjeoQ9ZNLZe2xzmRnlm2+WyamHR+rBCNMPeICfcjt7mWaKGVTdPEX1/F2Ozqso8dWw
Gs4dvXPC8Wb2aN1l4Wo1WFktx7kpK2w0JZQClmsLSAXWIDyzVezsB0h3rCH38Tuq/YcfZk9O1V1G
mhsTc8Dgmh0alb2nkCtJaDc70TEbSPrQ5wUdTs7NrFlqpZW4iwE6yZr7k3y2nR04deM+zND64sHB
Yl9ONJjbH1M7foTNgmDNsIR6JWuCGMU3T78HN36Wenzv9fybINL2odzPfXzsVP6EvooiZ5YPFanS
LgYJ0acWf8joUcF93pdz3G9TC+pcTuBV+eFn4zVHoDj3FtvNbQECaTW07m+jmnnT8oZddS0WhkIh
P5nYLQw1UJZsFhtA0HjQi/s0pB/dwhixJRS1Hx3/+J43ybIg847liExPSC1cGxMNplHMu9kQZ511
nJcDDO3KFYfFR62rADCZm55b+9vMCR6ZwxvIwu5oVq9xleqVSbuMXxtnnnyPcR1Uq65z+ejDq1Ux
Jthi3ybA88tg1xwaVsgNHwsPCawSMZGr1YBM+BHBWVx3bnWNvcW90DZbSjKczehf0rKkJwiwAqIQ
IRXu3sELfrNsPJXpQIXKWL/iCrkIv73rqPwFd3ZfteGHnWMmgNJaAGnJ3l0f+M1M2BOmJEstqdgN
z1wbQIycFQ+xV11b1Lu249aT5oVbcq8g3CyVrkGZX8kG4LYhDERmhtule3Va1nJzBiylCcvbLGFB
QsqHT1Ph55R5+FQ62W+1BFfyNqOS1u+eYxbxhzpCVcHQ45JaIGOA77wIe0qVjGiFh/GDGAzQu07s
nFzv3Ka/kbV/05YV5bcBXvoMCphGWpcGvgIi1HmKO9ULXWMlZ3CWveRDdvkYXZcEARA6qPrCpQmZ
DDt7FpTV/BE/dcU1h5kJD/XKbur4oaWLPHDaJ15wTJL3/g8dBFRvUSkGSck+UNX0ZKiJ05zffeD5
BWJvxMRlu4+68Xdh76FqgKWxfCxzGUsaqD+UgJeaBiGDm4chTOMJ1CHyGVofhtQ8PeQU+ByBVb26
DPUVb/Cur/CBMxsvgOCk7HkZxhdFHqsPB6A4CZeLjh8sHj+bpuNeC4IUmVBfwrj8c5uY9biFXJ7K
56DxrhhOvqwRV8pMY+0EIhPfvLdD7r3pQn12GBZDlmy9H14ZQVZJTRVInL4wa794jqyovLDwR4vx
m60UYovXj1fP51VDb2HqdZ8hhQOJ69wbdGDA2dJYtwFSVsOafhjz1u5z1CYnS1fKYwZzFipyGP/1
O1+1VCxY9QrdHQrXODzbS7uboFhmyg3erS7nYKe7I4aK2Gukd5LdOJrrFyuxYo/Mdqv1jIo5Rz2l
GSsJ6m5jecUzDqIvTsr01aQa26uF4u9y0Rh/IhCfcZkeAwd1MI7AhSnKskxqFCPMxCATgblRXQMG
w1v7hHKS2b6pO/8pN7pfpB3pq0s8Blss75uJpPSKqNEWejD1rEu7XKHfxzo5dQU0HLkQhqsPreih
GX1MY2YZPVcKy+hYBc8QgWnoMkPmTkL5eGUJgHt4OUwQAphTkFdmQFkTBcP2Z9Ll0QqO81pRSbhT
cnoSJuGlhDsw4hMGkhculrNfG0PJJoO7wxkxshycIOPHPJ7QfZ4zl7sU6K3e5hafkxrUNRwh6RFl
Xg5JgnGsuWlS+9WAMaCIkWFX7d9EczasnWOOyAC28ahKtesVxzEeUoCSTI8c6PTiLdndAZZemvJg
MyhDi5r3PpJfwjGmXSD6R5PO4amljXIKs2wd10yEts/VXwID3zKYhNwhKQOV5GWBpa9M5Z9Erlg5
Y/eLqP3Pc5MmaVusJ2Hex7jrV5GGM+mj3RugrmjdEp+25/3G6EtEBcujFMOhn4SP8mA9aBuKYkUp
x9qXROfS0l6+gMoUmmQxYFHdkiKMCzqUMUW6Fs12IX7eteVj4cHc8ZZY+lgH7dnAoEhnmyI2VT0n
WXETmc6pr2EllczPQ+ujwVuC7opsifwlG9Dd85VVwFulfiYsSVVObyKCFTmxprt3i+HdbQa47+1h
RtR2hPWBv9PeVBIaTzHrVTDWxPrmAUGAi6dSj33q3neIoStKlG56EksGGiVlSP57YuM/wf/0FLQP
nTIRQjm6r4rao6nPDTaISjeZrS7KQvlMw3brzLRt1aZ7W3Hq6AFLQOAy73w1PIveeDb9rtiF0fRA
wq3fgDa4z6E/9X0SHDlqvXn+g8euHZNJ7q4KdOR1S6UJNXfgVF1yScnSDzzYJ2xjq77u9q0b4R8i
9Zw9axKgJzMJDlyT67qK5HZMLE5iwNVW5A2KrSEcNs+nJiR0aTXk/MJ4hlpE9rRwt4M234wsO1Gj
IvbBOO3LkfaBPiP0ot0OSxUdJLrZTLY8Ml+QCWfAGAD2MlVy+hpuzfTIJG0faa9bR33s45DpHf4a
h7Yb3yD34b8VWuLB85KfyY3eojbaThOBZKMH0Jn4AtPV9FqqONsGYp+BIVkVPSjGhlSLkyDtqe4t
LVDYA9TOTZDwW/OdhVLrD6QdLSKc7oF/LVnMV076DCOf2bXE0FoNjBy9067pXKlWiACUyLj+SZU/
VQCIKY2qaxtGO0ktIaHX8Vyl4gsQBG3PdF3Y7MdZhnzHw/Sc4mLbGaXvrzR3PGXdLmdDn1tpGJpr
Me18ymCmKQ7xerYa5StECi2DheW/VVlfUU7kIAwAwKXs56cMsovp4mniCEZHVWBTRhA3h2gsKTRk
zqYRWvwMklBH9myhXe8xvn24uFnceWR/4ufHVFY/JRrQzi2zHwpXP5moh50W0XUOMapq/lg3i35v
zrd1BIj3buRtyq14Jan8SdfLTtj9H0iWa+CT84p5Rlngu/KluMAaz1NNq92sOcWXsr7ta4WvDPXP
Rb1KfbE3llV4VE2XzDaX0jLaZ2IMjBCBly6a4YV7FDeIRe06j0NnW4PQ4utW+dxRxZhERyszn8mg
GpsY9e9FCbwjgw7u2+jHH1+1J1/xzzy5ObVRHdQVsNDgrYEDrjB14EjCS+lyWmDg5d7Es1vqva6d
nXw3HUH+Q76MeQeTNq4fSj68VTHIeyNLp02r5FsP98MKh34z49XiN+OHFyIET+HswHdkQFchzbw8
nZgAHK4sfh0Cz5nuJGV3JanHXtz5UXhf/fLgXUoeBy0vY9TfZ4qTmlMLfDuDxkJgvkV1AwJMlFc7
G55GfAq7KYrvEre/SB8fmYcmq5BhNxwCLwMx73GSj9YnVupPl+RyY3JhpvaLGzmPwik25PNvIhrd
0pYISjadmpq7JSQ67Y2HRppvXWt/GS6WEH6uI6GqpXqTZUzC+9+dY7kyRX/U3TXVzk3DA8BXcb6u
W+s9WA6vnhFeZnhnFJZeUgFC2Oib70qPi1fgJetgzLEhHRD/GLxN+jvzgKuFKaYrSh9AK2kqOhZO
ZdB+Faq/r6KO5qWlUrvuHt1MnTFZNGtECmYqrPYeiiXfmGFsVJ78MgBYiDKiBStcfkfU+CR2eqrJ
Fpup/RNRFrRDY6SkKbNACcd7MVXX1EnHda2zY9WP5ElM6tVL+zO1mlMtUGJ9O94mKfnbpJVfUVDc
17G95Vs4d9EtDTLXZh4uhQH9JnWwbsTgLwb5ELQG6Yzgby6MJ7Fk1kjsPBnpR4/HwZ4FrSJmxcwl
8HbS9i5b69vt2qPw40eIOOGR/rGfpZiWDyr7mKyenneiKoUkadyU/MzxcJ3S4aZM4kciFJ+MEJ/0
5UYLaHdnV9NHV9Eu45m8yI3cT9fRXILtEi725u6fTeW4H3lkbuTEataMxQnXOtuE6MMnErRoqpc8
C8+4oB9yb6DU0jTe53C4mNo/RX5xI3iEA0XZt2WJxWAQuGrabTzEcGlrtf7TdvVty+wrqCo4laK8
zw29wsLGw8UhHRMQ/nD0eS6GbUDs1WGjl6VWdZaUMmKGXBUuHpLin+J3IkyRFbwmCa5Yu4P8Mg/u
OZ6VRKbGTG8A2XR0MaxNkOxjsnLdON3NoXvOyuLTUfoD6/htnwfeNuY65Q55Je1A+VMHGL+8iTsv
3Is6WbtDF25do1jLZL4aAT0HWQ+/nvplu4P0wyvP2NoZDH7uLlyU/cHucZgvfurRI2K3/FCV9B9G
l+UNmCZO5Ux0XMUFBfEvEGQ2UVbe1VH7FvV4X5dLcJ60WMEZJZHhcKGwy78S99uzEX8L3PbK5vY2
aAKTU4IYeDpZ1FlV54xazDYS7/no0N/cRoy1wAw9f95C9+TFWMSPuBd4D5ssZVgeVwdOY4/tlL9V
bfLN6fdp8Nr26JIHkQUEUQgCbzZ9b1XwznjQHaOIESVgUX8xPLWt8VFRdES/HK74Q20o1nrJJBkZ
NIWBk3EpXVrIOGu+jjm73Rk+dF3FxQanxcCZHiMOgRo24ypLD0V9U5QGAgH/ARhWxjfnXkog+icV
B95hnI1rxan8GNI5FZIWO/XxwKHRqHdyaqjxTjDdV5O9n5oc8HuGl1nPOkSJcDmoeZG5zwNrP03Q
lG3Dw44/+R5kbpk/GFODpwYyx/6f//mv/yzIDwn3JfINZP2Y8qSiEryrWptjfF7SrultwmJ881R8
g/DT7RyXTJX2p2PpUqlueu6Hwx4ZkB+wAdkZB36e3WwxqHYqYNNn5WuONi9zVjd7YOLreuAdRh/H
Po3bx2osP7sWBFTs8PaZjeGorN7fu8Gf607AXjKkIc3eeG4ggyckNrG+Zu9GRyV4KRntncH6JQ3M
TcOEnQfBl0zou2NF5G2gKimfiHxkYsGqHR5Lnj6RHFmW5wamTe/gBu535AvCL2qVTDyEgy44yjm+
mIqNVeuLVz+9dlgRyAjf6OWvixcFRjoWpb/Rx+B7L56CiOEVB0X+Zt1PyWU2nYe8uq0SMAw4ax6L
kIQ7QaZjXSlWmi6k7mBVu95PPdouL0NIXnZ2nyzSgW/krA3H+qzMcCAFIbkj/GLadmZ76np8jzqk
x4E63w3D9cBtLY9Fr3590+b0Bj8Fn7hOqVOgSa9bWS6gVi+VdEFNBO9ASN3WSf825g3j0JgQa5T5
3xDPzU2bwlRlvW3anJRl6POCnYCwkKra+pH5Fk9QOMM/XFDJ2ayXLAIHzir2oP4byWM+vASSWErv
cUaLQuyxJdHvsS1xCdOV6/kJZ2cXWx4MmX0Sm9Zr6vO0TlsgdSkrFmhQ9h46serYvji9unLGfnLM
/LXJPRqaagIGvQWCgtIDXHJiHy9WuARHJr9E2JeueVBsDllS4dNk7Unwl/4Kwe9YVCCUZ8O5jjZ9
hDiD+CpxlmhhO9NzPmcCifQXoTz0iCt9yFc1C+OtHTnDGRLCUkFpWOo4FuVb/RMN7wyqUpMshvSz
kiys7OonTfRd7Rd0p01LuigjMyLUsc1baslChKlmZvnkuulnx5KPt01pEDZlY5ZRdBIm/TJAi3fb
If/KtjLc82/Xd2aOZ2kQ2NsW6Sn40GxYCC4ZzK4t3aYToUEClWEGTY9h5D4A8wJkjmVnZxo+6NWe
5p11lXeUuhV2zcyP7OH0g3fsNBu/eO4G9DIuGF+GKQyOeoN5DvhdnXb3OkcEauiQXdsDcGM/uQlt
uAode5uRgidrYK3JLFUdk54IDaepfUR5wxrx1bxpkd1JlPIQc4VLxia+KZR561dK7pXZaUq/yuOs
EwIaabGNhALJF/JyCENF2zD79tQj0pCk4wuUc1gY7TOqGb//YgY2x0Y2iBsQsyVrdc6tOcFX51zL
fleYsl4PdIlcWhf9VNcs7Ss5GueaqxgGGLDAFrsnB4g33y9oLVzmz7K1z3N/tFOepFlcUqg+ywOZ
M2ipqpxOqlk0IQDgq87KyW25ac1cm9krmJCAjiMuC2NQ4ozemLfcaByzHPslz4iNuVYRrD21LgSU
CHugyVBxizaVt9ySt9nIX5FSJwZAYmllVkriotMX8rWvrcNnG1itA2UvxUPDbb/Jx5fa4SfWNn+l
SAmYjaHDYw1JxvH6V9u3LazgwHBZSlIFd2+yQuGKQujmt7KN0gbKI0iEbcDfbVXTTmoeodYyZblo
PVvHwwmehP1BcXBfmUZubEWnij1isYzsYudjw4wi2iA6/QnFv33IRbDtk+kVHMOl6t0eakJS4qck
WlFMSEQzAAHK3vmXjD+VQ/a17fCrkpR+uB6wYjRUFoe+8GsAFqzNnepHtBkf0ZTc9UtS1wu8lyzq
vQM5pX4b6ooCMDyoG6H1oSvOdcGVbAekpriRILNUN2qCKF2OhTi6gmQnY4XNNacqqNuh/UnpYz/O
P12haYJMtrat7+bGMWHyEyxvgk+8e3y1Eg6B7qcAstRSmtxsMyYexxj664DG7JCfSqgeaiLj3a/p
a+ms2lzzvMNSoAw4vLP3HaUKTQfZa40zllljZhaZmFg51+5FybMyH6d0w2v7mMhgOjlEcVYxRx9V
dAyzYUlFZEXDaRU/tkZm7mrvTiiDwdCcXvoRQFVjshUe6+e2RxFxBnJ3YUFD0OCD1xmzme8+vIma
9h3wcNPIP9HHdx6nfQ7BvBX7fnxVguNAR15tFflUByeHurSj27AklVBSIK6ZVYYGP2/ZUydQ4OkO
btIupUix+xmWmqEqYQXfh8ZTy1KgFJlPm2nhsPyQz33A8TDJ2pyWpOHT4OheR+4EOSxWxzxJ7g1V
AaGxodu4c0WFgc/+2uo580GNY/lPG5Yph6+2N5lYnOFg8ezZp0UJ6zP7IlEe8LWESwyPk7Fw6wd+
ooSrilxRXdnZPpJgPGe9SelEyE3YQnUg73TjUw2PL3ktNXykpSGy8s9cR8Xa0mRtonYYrhXRLFVj
ZBlBZ0Xd5zSVt7xhE6ZgePpVGcNELfCBVLspKZsLyTK2/j79huZc/SRQyjkqJI/C9IN1pFm9RqUN
oU+zOCFA190WzjrOjW927cOHER5QX7GxGwqeNDLbPBbfrgsf1FUcjermqpdkDnUY8z6EancbL3/Y
bN/oVHRP//wjcirfvc3moUodftrGewJcMB5yDOLUGgHtJtK48wwfsmDdT5tK8xwOKuspoUuD68B8
bapo2FhCuOtQHjyHzJia/dcwjoDK1Oy0S1jL2zrgIJMPoLcTsO+lppKqeerdat4LAkjbHpjSmCpw
ywXqHCwQvefmIUXsEVFqPbK/FkocIxzPWAeXPSevtNzKuumufeU9ZDRX0lhIXrWy6mvrU+aZxiAp
+XoM8EaLvKGH5LYOJpb8rBlJFH4NnQWT1EWWTzrrRTqaFtjmo9JFsI9GAtYA6f3avc1RxDZE2LET
45wPwKT3SKxWRlFiCbQsIbQVOD3RcAr86m7c5VRN9nFwBUp2EzqcVTiW4YOt4MUaKfsYCz+0X1UM
OeMvj1xgbK53Z8n6XncpaxgHEseE/ql4L4UZbRIG2cygv0sCUuOxLftNW+ThzsjAv2nL+3Ptnuxh
+zK2OM1UzbjhTjhsG6L4Us4/avQOtYTOmvy5DhfonGffeoSkYbots5+B67+YwvMgq+c6xUzRcnGJ
5mlMm7Nf4/Ahp7nFZ/5spXANXF99q74mJy8t0HK+kOtAuBcR0hyL/rLtQ+foY/k5Vcn4bM1E+EKq
euys5ANw1Q/cgH1Hey1JkWw3Bl6ygT7/BCEC3dQlyY+NHDvddNtL1ANbBe/RHQ4UnirrgBqRTrQb
o69vAI9le2wZx6kPbqsGgdhlF5FaI1Ydl/8mMajXvLB/63m8UeANmFI3URCdCSQXK65OA0MQBd2K
nFa6TGfoKLdOEhHpThsCm708aLs9WhCTunx8NKbZuunwAonK5jUQU4vCiNv68lekEpwxrAiDUgr2
XCkvAz43WjFyjemp9iJ6fXiaudmnUG17wf/J096bdkbb+psGjrKvIq6W+D4r4fKFPOvLet8oqkX6
jFc5gGTaPKqPzKE+nf7E3SSM39DuqLRLv1qIylz9Yj9ofi8qHihRMNOdMzfgallCJkm+NYwEBU2S
5xMlSBBFio0NA4qtzcfc41nG+MQT9pS0yTO//wf3qyYvuQnZF7CmZenf+Ca5Q45Vdvg7NuNDI9zf
Kmtfval5RIWAQpoYQPbdFt2ZdJkOOA4oa3HvoKMaZK4dBd7IjHwa4/JZc+Q3UZ3dQJ4rbX1ZwQBm
qcAntqhZRRtifMk8YGFFdexH59zXp0lOe5c7qMC9l/PgDhzjTXbxXy1IYsOyHvcloOYhID1f/xZu
8+pXIdvoorzVamcFvDl5pmfw6w50ctyMACXIzg6IJ9vOi7HUmTQOhwyquqI/wl5iLjx8flzxi6Dp
baPZvxmxpG3ov/3O8vCesHB0giFEVej8T6D8pgIQxuCeX5yl3qbQ+b6dbHOLbc5muoDYWDh7axjD
C/VGehc2+oEc2Na0S27/VJ1qDqVhqw2C8qAHcl+3POEJkiW/EcQ1QgvtURYGPzc4ReWwxWG85RDm
hFtjGohARP6ZzcZ6bIrlPUjN9egWT1FV38lObkagDnwb8WYgR7vx2Java3Z+VAUiPSOXr+MJhp4r
00vi6PsQ1i3FThWK1YiIMeYJy6psr1sDQEl1286mBbW535GaAK+WMpRVzaGkDovsSriJC8g77Uin
bjTfxPCr10Gki61ZtRT5JccgNDGq4ziiYKjZwq95jTksZiN5l56eDcR3OHAM/QAg6NSFAZkAVvBD
I94Yk/h0Wn2rzPaQ+9m0bS3m3awlHcJcbayLjA7hYLhrQ/lVqXMoeWqOMZ3Vk/jz8TiUyoZY2fu/
NER+svxS2ntBQdmPRYhWkp4lh9IoZIwYQ3HrJuNtNGCpphFFdNaxCmk4tlgPOLlzNwrCcKyn6n2l
zRNcGdBmtXhtRng3moWpnYNZaekj8wvnWszyMZDJg+KZsvOoQE5r6oEr6xTwJldesu5KBDIHZFKS
sI0kApcQkRB6lBtslPwvL2TYqfDFNPCMzTY/xiWo6t7auW3LVMKy0S9GLABGdlFj/RMk/U/aoFUk
88rSD5nuOm6aiShMSZuB8xOP9m/Xl9sA0rk0s2pvGiN62QTIUHNqd6IvVrII9gTIWJ4Zt7KcnyLb
fUnc8WAKeSSUSQVKKy4xReXgZfHodLwQ7Yas7eUPL/VWmzTC10297n21szVvWHP4wrJ+l6VfSi6A
AwrF0+yeSJjg91e+zoG/qUEfEHWynv2yxo3kv0cdqXOUzosBJoHmXECBYT5e7Nx7JGvFgjv3ns26
v3RB+T+tB79FG7fT/6f1wFKeSRvB/7v14AhuAoz8fyk++Lcv+rfiA89dKgyk/KeiQPxH64FvUYjg
2A7NBZ7jW/hi/r31QInl/+KfI6u6fAfK/ffWA+n8H9/Bq8eXOJQVIPn8t1oPPOv/6rhRVC640rdJ
hSvKPSmq+t//6z+3HsROrJLMgmeluucG/Y+8cY/U18zJ+m3CSrbuc4VplUUUjpyaRaxJe4CnkfBV
Gv84Y/U38xQ82FENUWaK620YQCWI/bup6fMTteaArFsYM8i3U6U4MItmWOUxR05W+pWV2C9gVT3r
m8C8+zhq+zIDUVyznpsfhmb2GDOptREWJTt2hw4PN28P5G5Z2UMureuJ/c8M9UM2GcydN0Jhmpop
FrS9YG+SmtuiznjHJK/+5Av8JiDfsgz/j2sr8k8mDbQ1yz9CdyFKs21fmiR78Yh+nU15xM4udiMF
6K3AKubgRxycE8o5rouiqO9ETiLPlv7FdedjHlC6Q9d9tE4k4mw4Dqch68SlNaGatuxIgY8xnwdE
H+2pR/EkFZr6Sf1Kzpv1+WhnyCnsjmWFkaqz8elGyDqzCw2lCfT1nz9aRxw9radtatZ8D3wamRh2
U0cpTkpj57o3ErnNE8qEvKUnV8XGg/JtUvj8fU3NUcK2hnNV12yipmGrLbYFvmOXW7cKCaj7i3e/
Y8NacV6aitk6pGr6rYeJYKAcAMNTgORlJSGR8VaN7QTsBzCYm453ddYTfx6M9diXVD/3Bn2FicIA
jdTPQdU/zbRaxuG2Fsrdcsx/ytHWU2MsznDF8NJQeojPtVg2e2VAWOMWjpqoC/n8T6F9XtIcqWyW
M2UOq67FwphldIJhQH6FaAPUnD1JGYIcMdw3E9pEOjTqnpUCoUDV4gUki3nniGBRcryPwI6GXcGr
UXRZdY59tG5dUriVx0mHR2cY145TZRsxGc0NmdFVKx2xKZgX2oVAgiiWX4rRyf71D340llrZYx9n
tG7g+WhImFZhdcsZ/Z3m+Q02g3xtC43k6E14LIPqkGsvPngxdfAy4vBYiK68K3vW/W5jehubKb6J
SUSnqb4JTeuB+Y4E89wyp2OflyK+SVO5a0JpsTDCiNQaw5N2p/AKOOVopAT8M1l6XykZHqdILvRF
NKA88BxFPl4DeqqkFkc808mv40U3zHNf0KRslC+KyIyi72/x7d0Z2vJJ7o7TZjY5B7Qm+PnOiZeA
6jUcHP9UMJZbTZhsxw5oUo9c6OVhvjHQN9A1KWodswMLiXrjIhZspI8aO6sLGGpSp6XChot3tj9W
OSusuJ8h+LTYJKhd2aWs8y6ehacnR/lYa7vcTaCiAPCvB5/MJ0mJeRbfdp1CDWyNnY+8sJ1rE2dL
5b0mPd1UusRGHCn8cMQoVkrPFD1hIlQQ8BZG1505JDs2DbSp0A6yLgnEWIxBqxBw2p6qF5rStxqk
ghXnu2CEraKgMMF2v404PWyIGz7jekESIe25Nhp+RCeu0eKGjSNktXGt4UvI8gXngbXKdXsgIUuK
TpXdygGGD7ZEN+hp9VXm96POTlGFSm+rYj2k6FR0a8Ow977q6N1Vzrj7dXLwXYP4KQyoGCyA1F3b
FuwyF+9Wo98mb062mdfjpp5h8MUKJH9QRuMKCwulcXQo2wUFxmaR/elweKTOFLICq3dabuD+Bky9
4ymW3UjlJpTrTkZf2QhqKeIExYbhGFYjCIx2+KNzOV7sT99txqatwpTPk3c8dTw1N1LadNBpaJVz
XOw7H7W0yJM7jPq0XkdUc4TBYx5mf9Aw+Co1LeEAAu1zWd8V87w3Bnj1/lPksU2M7PnVV9hGKsSw
qRYHzfU2scJwquaZKpgPCMN3CGXEPxw2O46xMHhAaXAc6z7yYIo5WGMeXwxZssevQhafV5UIOMPS
8z0W7lpFM7mA/tQSd89D+nPq6qf4jQbmsAj/q5jMq9PC+s5GeU5yD2V5PEa5iNiTyn0S2RwUsp51
WGWGe9eMCFdg5hBB9gFSFZtoOP1UsXmshul9qjDaw2Z+C7FAQ0ePX0fTusLeQXB5qzAJb3UdCuh8
ANXz2CTdG7v4DDgvx2VyRgrDjxDOZBpM7JGymR/nov/DMEKyNlnLILi3LVOtDGFgfv8rZzCiFP1C
ImqT8tZvQnfrZPPJGiJ3VXpvInMSBFKaurnX/R18LiSmCFuTf0WC9XCQxVTgTsW2J209e/QwFklS
42KFit1221hQXtHH3mccxze9RSWwhcNsw7Pl2aibRzHwZg2S9lfZ9dmrE0q+XWNHhcltaJ8CTdtp
xdGIEd4OzpExH4YCnKUQACKy3jzj0ub/4/4A8duD8OGbjP/ixv5UHW7gKFbPWgAQS8sGfkcvjk3e
g0p9Q418mEKAwF0Egh2B44SL9pFHj9fwX28cnW4G3httNp4Lf36GCg/1ZaQvbHJu/cH7tA0KKUxG
fql+Pd5AO5Gl24HyFAXaJhYT8SxpbKp0IqkurCPVPKBRqXpmjCiPXYLRNuF3VvNWKzAqbxBe3vOg
r658eygocoKGxIvDtdOLK01IQ5bHzL88w0k6PLNrsDYDjrIw/+FWnY9GhA3SV6i7/IqnXDDKaHfv
10NxGCn7YVo6235C32Ff/A4yOxLs6SjYw/UdOOZbE9gPNHqv67BSbK/uAy2dzbxw/rrcZs/JFBWS
HD13LpvU2XFJT7Aht+u1Fd1yxGCrFZpQylkGi8T67XJepZVjrTp/La1oW8FtYx0N41TnX8LPbltb
3pg1y4LWxrH/MvZQ62OM167Y2opLtvOegvTQRvYzLn9n2xExKRx3X7SkO8x2lzJ/oJzcuHVxSob6
c54wkejxzofxaenwhubVH6GdY6Onk2ipcp04D9rVqzVR6+dwiZnamFYa9BH++sqco31PMm1Pv3Rx
jgvvq+j+2qjp9qCDilU+QDIKs/J7JBSffssO2Qy1a2OFLrg62sxD+8dxhYCs5/7G2bUaeloY5h5x
IiFlhKj4TqtuwKmQT4wS7Yrd92EgtQzdtribsMySs3M/Ytyj/8LVeS2njnZp+IpUpRxOlUUwYMDe
9onKaQvlhAK6+nnk/md6Zqp20wZjUPjCCm+ofpstw32fUAqjWkbXn6tUOwbStTdlcfpV9aJVUXD5
XCyUc/XlZHTJJ9jDKxDAjbnGlWKrbKpvVUmOGtVUGt4YLd/wEwRGwDl1fmKwkWayCn9DiGpW8Fqg
ZCTc/LT8IzT5cVngCuKwKZhhTS1aAmEX91BopmULQfRsZFgS0IS63qXV0blkaUEx6DI8SC9NPcqn
DETm/LqUeDcQnMahOZvACmAtzHQNOWSNktHdCvA8hjdngS9tc+A8KZmA3dQ68a1Ju7QCARPfpNei
oycaj8gQUhelSRzcVfkd3YR9lgifxs181iSwqpWkU79cLWkXDdKhGo0N3IC+NsMlP8u5gKmYrl0k
YBHOlKGXNPZ7uc/QaCq4/aPehZVaRSjbU1tLwSlSvLR1hX2wbLLJ60XsHbM+CRgyAAyootHCzLrN
IMALvrUTMODfHzUTJzd1Xk1r11+bwJT/85vf5/jZ3FxzwB3l992/D7+/kLn2wFLWT/v34fc3/z41
5JsfS480/H+v/6+v/33z74H9v/fkaKko8lAFmJvf4RatX8QO2//nR9b9/j/H+furVpNCU0FEsujj
jVYP59rIG2h9nNLvg2SJ//np39eQ2Prfrw0IFGzQL9LQNQI+a36Uv9/x+y71/771n9eQzyBOJU3G
PbpX8WYGYYQ/dDlQ30zj26qpB/Hz98Xf9/w+aB2e0rg6lk6vX2rYroje/J+///cpfJ4HGvAGKGWK
jKA5/ueNUq1Tm+QK1auUxLwqJ9xaPJil1TH59zVjnKmaFXfFyWfEc/pHfwI52y54SGD/fCtnlNR+
fxyE5Fjd4XMMAd4IO2Hfq0/sViD4yScyFLeQgHEISmle3u0NBar5bTopZ5R8DjWdE2fcErlAlbtC
ZYud5nV5JSKV0Qf6qmxSR1YLd9mkFwlqM6gpc6eD5cVnmSzISe30JztYTzTXltdhPzfGqbiYRwWR
ni/cWeUaFRZ6YHbp0OOB7ti4zeQPP8xfcpWB1gBd4PcOP9JtrVM9DtMP6sZi6YllgPYTdtjo71J3
/ao0J3/YGKfQM6hHlKHRf0WDMh1c5bPfxwjgOH2gvLKUgCj1kR+lzWnHL80l30J7xR4FusuqS1S4
wrm1s4EtbV8E5t2XLqq6QV10lmZXpbE94mHnHIuDeVxYLVo7D+4DukWw5khmbwfwA8/J3a+fkRvr
ih2P2q5aG9gLYm3ynxXFhpug+bBnYc+jZADftPsfsPWLjhMzHzPOEXmPvkmDMsDSuBdCzIpJWaE+
QPPu8s1aEjRJMENFVkitN2iu25A8KS1e8LJRL/NzJl6Fj2Nf+/fYXULsbJRtcS7fWaCLI1ycENby
uTq3p5uDqphPjZzUDO9sWybItbFF/LD8P4Z1eDhzk6DfLtir5pRfAuTTN3cwXviP5rIPCGWEHmKk
blO62QdCRWHnPf6oh8b7IjFNdnCRJvfxh0q08F7Y+S6Rbe30Ct34UNigKoDW4HtrrqorLumhDezk
2E42hGf3mDv0iNd26fpYZy5Kssf424xACLn3UH2LL2YEZDfQj+lej/Tv6pP/I5X8A7krKj7Tq9QG
8bcw+PdXNXMZqvERcRobH257vQBKaPWMqxug0c0KPHF/xGP1ijbvkV0RAIAeCR4tQJJRN32P376s
q3k0j/gIAfVBTF2lpr2xajdHYFU7UkQCHGH4FPELGx4YjXc78epr+5PDs3aAwrqK+14/HZLnP5o9
S25XOFv6I9IBZ8gC5pMW6jPqVUiWowsPZNmVnNlBfTGQnh9wPK94CD/9KM/P6RgJzg/KaN1nQ5sb
tadD6sEPNfB1ul4QvdFcaYv7EiktE+8034LirVPAethsZVRz+snB8hjFopZW0qk6UE/fNaiK20uY
XydYi9uUFSdYtunMlar3hTvD7fCj+nqnmISGvvvfr1LQ8JNNiYHfnVrK81AzA/xWyVzcHexksyxu
e+VzswPY7p8SaFsAADtMYd9NLiKNLz0ulAj6vagBdRZqPc7yxWD72me72e/cEXS7nT4N++5wP98V
lpDHwdzPKmP8JQ1nuAo3/0eNurBV0KF207treP+MlJ/cCSynIEcFBeB2r1/AkELQHxdqPuzf8LN6
FPwdqNh396G6iKA+xS7SejNYP5YgpjM3k1G2RWgx2awXs/+JJH49XfFsh+tRHeBrxElkUOPYoIgn
brQvauKzk0fLCahnHAKiBY0+t1H6dDuCULXogO9nO3mnSJI5yyt2yTa+4O+pl2+A66Qb8pz6RMDE
lasD2htjeULzwDY+M6IUT9wvQEW3fq37qM6XT+91c5RPw1/IzFyVTvDBjLchdqR66XUo4j7VltN+
9E/pM6bzcNxid+re5W8QoKL0QqRLKasdvTSgPrm4EmYYTORGD+ZlJ0i0JD/Gbw0B1Pu+vfsqDqH2
++KKi2P+TcVDptifUPqh26qu8KS1fn6FQfPaDvBoeQU8tFZFCxqg63W+HWjN1s7a2Pqpg44+MN6n
n9NPpUWL7CGHyxKWemDz9wyWOuCqeMmG1iOeAH+G0xSMxoGrs2xbB7NY1e4+Yfai/kS1COAw2oyk
8eY60m+PnTq+1XuJW9Q72Z8cLqAW4KNDzWvDLMQfa7aLZcccST2xelbCPhiuEj2rjWru7rInPGfU
ayT/hnAnuE+Y7QGAt5lbT3ffJbxad4yz8slmueohOvO2cBMWhwnY+HvHOqzxlGvQBrQI2ej9+fNB
pCqC+HEp/7BAO+u9p1RTf5SbxZ5DydbEb8UlWVr0/c0HJLWOPYjKAlazUOXX254S4mXyM4XL4vIO
4LD+QEr+vDCjnjlE8ac7c8LrSe9ZeuY4QkiQ+RZleIZHvY/L4/KEPqD9z3/JFC2fYCu2ief31xmH
DphwLnXWJzC5DgaFx/paX1EquqlhPAF+tBFAmFCgy70ZxdQvcRhs82dRD4DC2iDzOQKccS2Iaa0H
oA+hW0hKYCCFAHeX6Vr+sDOwjLwO9JQAFE8cj9McGOdsb/EGFoKHMVTIsMq+zb86emEyqSZ7lM8Q
6pkrbcAG5bOTcoKzXZ6QRPVB0SL68Cn/lBuD5bywvowSuxUnpj6HGXx2vlv+oh3STaSyEfk++uda
v+Fxo7eBW9ITd1bMlfGUJd5dhBF6WqL0Rxt0oJtw4I0nmsD2KL7cLrCC1jHwlF9IvD/vr3BdNhhW
ujS7k42ybd8zt3VYPFkz0HSRHe3T2E4L7DHbT7bDh75BSjpa/iQf8buwpXm2Ba7hUgAwHdwmbFx0
e3BE5OM23h4fyTYl0KEC4sSG97swuSxOKLP46D8XL0cYLDYFOrpmWIQ/cXP6qykFXEIHZy9uIpbN
nG/mXtZh2gYjVSO72ZqKjW8ZqyMe87Si8fb7APO3sNbBffMRmYR5Apvr2GwF1kKSBsiMyOTFL0v9
jsgjAQ+PYhk+yqM6FlskBlx0JfPC1ePdCEhM8aUyNKCHmEEznW+UftNbB7kkSri1ehZp6jbDzP4Z
BVTnJzB1Rwi3rhigzroTzgC5Hp0PvAYysuQv3HLFTwCRvXeHG8pKxyY0vCD2qWa5sY8KhcMof1bg
GmFkP51m+B6HpEWh3ym/WuHSFUhWfCtkk7ICjRWyqLiBwy1g64ssgjQ0m6UFDPGSLfWT7jCWy9D8
WKm4M5hhIbwbH4XJ4BgivOZA9sbLRW0KT4zgcbJdUaaajTMlTi3eVbi4eAifCNWXfOnQW9NhRPmw
TRxEdah97yHvje+qSyUBpN6GZUcKC786ZO6ihmgGMl22C4G0BNGVpY3pP3DnylNlcm99wpX2Cpi4
RTw7iQhUmXgHVp4bYPDN8IPSxJUuM2qwDQuHSwhKQN2MLB7Pvepqz62+ox6P3SnYqGT0vpYteCA4
GyakzNyVtGDsMUvyFvmKLSORde6hMFkAJjrJoN4dzFmasPHVH/VHQP3b0X+mQDEJI96aA/PceM29
eyT29hhRMZFNB9gBRX+qK3b5LEEpmpwbGtrIxNw3lEryjgq0jQPQnLg6Jk04EvZ+yirGjAch7Ohn
3GeJd+Rpq9GLoBJUe1kVycxWed7M6oGSylLsu9QXnuMMPq5Ds+Ld+BOrrqk+zUBXKAF/C5L7z/Vg
7SvYUnJP5ZgD9gR0Q7naGI+ReGz7LGrOhC6UH8UpQk6T9l8zOsp6Lz2m/5C/5Jss85nPD5RvOZfW
vqiYcyY7ZD5kR98/NmA6Bq9ZoCQf5y3AVsAjln9Hy7PY3sQfQd2BfsLA9T0VHUHykOLF4RMYWYok
BPv08idDHvapOz6uULgn2UfPYUSNNw8At4FgFa99iiMMMEqESgnSIkXfK/35IbzE8xuqjfDXWVwA
BZXvd9EmIgTRy8YH+xEirSM/LyBjbcvHcK5oPQKMB6aW2Lpslm0Z1Ix57UCh0dgM7AKQYoPMLUnq
9vF69VZtp2txFvILTZ0NpH1zirTPnp1gOsJ4wx0IJCVJ2OCSmEnh2IRdedKBwDShEl+KzF+tGmqn
Am6yhi8Kqxk8X2iVff3ZWfDWiq1BtqUcB+lAOMP+eEe0pnemH/NnmpF/AvnnZtAvDWRcUBZelTEv
N6wEboIPtRIVA+hhKpfmQJM2GYPMYG2DyQZE0K9yEHdoJ2/bxAWvMg9/yRMm1tkztRAMgCg1yiCY
FFvRnEmj+I1IAESmoMj92PKg1FQ9kbyHB0OVBId1+IXWAVHkCkHR0sEKS/tqbs9ZVBkhVG9p02Q7
IBVrEMY+orl0eh6npPWL245yNMaGzbTL4VXGPWJMj2dwg0iorJJ5ji6O8MJs/mUFBsrE2tyA5ZNo
EL0rfZPn7Mttfizz4LE6ZtFLpl2yvbEOqh+mcexEH8gJWzYO6I36Ob2r1LY+G8RHyWV+2JVkzflZ
vatq1J1D8ah5Os2vnZqwlxPEzs2Gyvfjh8VGRPwT1ybFZ5umdSwWgZqGD+Jl4Yo3ROlDNNUxCXvt
JK+8fcdIqf2wJc2oAUXpfOGgWXNg0yjNJqEWwlZEwMRatxSnWXDHC9sD+5N9PzBvzI1CC9s/AFom
fm2ph/vEHfdzGVK/clq7fUo+8o/77r2Javu9+UY89vVrIRN7g298/25UVnBbIilNP1IWpseem/Bq
ENMwRF8oC+DneCSXDdN9ecoacHtg3kDh2cmHcEaqfT7rXKQPxR0PMybsX4RdOAyyjRm7S+PjoVjk
LKjwZj7HV9ZS2C+nlLEHeBq2QtCPpEZ0k+giE6XyWB3Kfb7hhOz7WQvX4kGAV9e68VJ1/8wEn+WG
TC/fVIeqCafn+RtNc0KaFG5uIoYYzmoUIxjVqAz07wg9AauKa9+SqXtgn7XQXnBZXbmgVCV4Ntl3
NcLAPKefe7y57bRfN5L5zNzim8jcg/bKMlafhoAJl3N8beKYrFm76szkZUYWPr1y6gWs6TNrkC0T
Pk0hglM0wSNEelByFpzHT+o13yjWoqVreNDhy02br4ms0/4VrxLmbCHfAk9hPKIHlH8j0lb+pKfy
ZGzrwEAk2Nb3v8eTjIfsS/SWHXrQa9pMkN80YXGIgSvjqGpsetnnpODU8HGla2ZPaNevKdHaMB2u
CgGV9Zr9ISc3fAm53hAMXmsLnznC2F8GgrAn2SPSYYGsfJM1k7LqfGRo3Q9kqtIr4SWMqjdFdFXK
Bf5BjLjjRtAdqJWgNU7lCYuDFoFbdBYcLOEx15a+KBylPVrJANJ8OvoFllOEn6QWtUpH2E7f9be+
8Zk1iB/Lgp3vCZo06/JjjH7iydd58knaR8UDy22+1YHkmoFRR6QZYu4p+aHTD2n5V7Jxmkn9+4Se
B5V0AuAVFpLdPYwRblD8LoJfA9dlq9Z2aB4a9vA8PSGIJEdxd7OJZlXlWMeh+KZT+9CPoBf7HwZQ
hHpg6sjQ1RyWrMGRl2h0849uB2G1uWioCnzFDUgNpwS4AN3Bt44INj1UB6KIDXJ9hw7xa/ulBdNu
uty28Wt3ndgwSTrhHvWAUe3byUnuzrkzXmvRlWrnY95knU050S59t364IyGECx8wd9ns287OP+K/
47m2djXDqwkpc+XpeYLJrrvMxFq/pJZr3Knaw+74M32wn/E172WgEQvd316bvyXaCxr1JnI2Vfjb
9DRVnfy9OF/A2gOgPBGNDO862zV4VnkLmZa/rOoQxAVlRiQo0KRy+p8H/DuHOQvhAjIZGlrbwHom
Nt+WHhkmfVF3oIYpv8lvmc+NFPOn5OkxRSjoPOQtthTZsgMqIvskE2zP1ZlYoHyXH8HFoBvGSG0d
KiAUMKj0sE7buNBjzEixAxx4UPiF2yMcEvCqKG/RbkvnSKCh0e8xlsGeJ9v1ObDOsDSuTexN6hHn
7+aVmm9jgIaxZ+JQs9+WLyZUl+6Zu74HN9kMuKpyqgerW727PrEp5YpBUwN13fBuYyc+/lChq7Cj
NHYxUnXLJ/+oyFhAcNb/PSnxtlTgW6KdaZzmfquvcaieHkdbCZs6vOStY96+EQAbhS3fgefMEMR/
qwOj/ovaiIXCd9iPkWmA4ndZ0Hbk+Gt9BEpdGANZZ2GNXT6ofzbiralxv9CLt+M36nSE8BU1DyJe
siUKls1GiJ2ICw21o73Gd8rnzv31jpe3s1bcQu3Vem6rZ6w8t7Hm6G8QPkm8nhj3GCHkAURCsrfX
keVnQbYc5f7X7ECmYVYf4rTqZzqICdWDOxd7VlS+hvI1WRuT+caqTvib+l2Y+YAukROxphc+7JPk
MofPDBUJ2spvQVfeaplTkm3a86vwxDaETiUrDIgTGj8EUWg0JkCKCaXk/CnN8Z/w53C9IO8cEVZh
RkwjDDnLNYtmRwQdhjdpbnq/KyDanfbtTK7enEuyGj17mj+5WuMrsRbLGnzPDCoNo49Fj7g0fhuu
ty9SF+JiarkskKnPsmSEcrYlsdj+FI0bv6XqmRAzo+hHT6in//jJ6jb/KaUApYQtNK8FY1pS6+ZB
okxRg6n1RNReRH2yf8ADgB3DLv0qJfb8KdHEdpSG0kws+XkQkdqDqQUrAsfaHdHsZqadgFQAbs8u
SDaluSfgn2x6whMXOcWQglqhaqMLMOynq+o9Nm1rE1f7TDLl834GS7aj4NFSrSEANd+I7nHW5Ueq
/6RChBQSNStiBJ178IKePDKN7APAWJQQCdIB1JSNssjfwvKJqHLdoeSubqbJ02JqMIQlICOy0R6p
Kv1M2iuaoiCtkk0W/RHO1ERZMhAn3FBS4rC4QSq04Z+Ecs5flU2xfUCrgu6FYIA9ZXhAcgyUurle
G5Kk+O0x7ZXX6pB77G1vXDYxe42Js8i/TSo0UM8bVxA/Z9t8S9/zJGJp4Ggwm/rkk1hWNBJ20WaH
n4YDUPf5opPUok/nm/VO+YT3J7PAvd/OE/an6wjMX2I8tDj7fZYfDA3eAxisM6uWzJUhtzgr4Xgu
X+gka49d6yBbxyDk/U2yaxjUn0i1Wed5y0SmWA0S7MncU+JcJfHYfKBldLLHBWHtKgmxoJ7rKEoB
hPEwCgG1n1m0lAIxf9G61xJGdePTDCV/zS+8l8JOS3CRe4iYcN+5GyOK9lhNUxIircZZxTjeiPha
j7+b8K53MRzn3egBcZm6gI+yqiihOIrXEtcgqqy3GuVS0DFYilNhSjfU2mf9HaVqPQkbqK+sMMq2
RImJpZ9jFmK36oJHEhZdgMLtOnjSNfNgySa1BvwCRIJRWdH79bgPqiPeD5h5cEQ3wRXYCRgqZwIT
aN9YIAEy5Og5Vj6ZHxSJ8Uw9nbvbUiBt12vD+d6VK1/ISsb1aFhS5gu/xbS919xK9qgm8jMpV30V
Z0eFI4WOgTqGNNZrpvftu5m/uajD9Maf8z1ruuJyoe+k58jAbbmsnBHn1RDujNwRV1DwFiYkSmxa
YPx6AV6z9nOM8cheyBXneqlCyDXK8J1GEIz8yuZgDBNIA8Ue8uKGu0iJ8p3RyWfq84l9LxbCWvzD
WRcUG9v8hbI/Tzh8Kuv3NRxBTqeQqVuzUrLzkVJLDRvuepqkKPU6SrhnnCvZYIz4PxOWqAyjy8WV
OWgKGpC4mPF0vIG2NMDp3Tty+7LH2OoImWNUYh2OkVvEqsBQijVWuJPQnwuXFuW7hYKrn33d0Hx9
G+tQhPNJ2X5vJiH+Mxw/dRJKlXAp1kFrerr0h7HCU0qusrZ+9j/fzDdY94hDwIWJmoZqc2aMSdKT
RrE7Biq8NIqxKbm/QyLLp6KlxuXn69n4q/Nj2XBZ+Xs64+sNhULRepx7lrrcRk6HQa94HBWTiN/w
Fm7HhNYHreH1tDlbGEYcWtFDfV4vAccIH5bzX9BEwbtQcPgjjpdBsN6kBtimW4Fss9cbSA5qC7e1
fSM+kFbdkGwkBXsPURKFFsdEsXY/vfPF45kugUDG5PO9nA7/lv7MB+qUebQnbg914ZysWVXPhnZg
VmhQKBu/VFBojAa6AppoQ0DlZMG/cRP5sHViQDtkMmju0NKsuxhbdJhxReXGMkH4Dt7IbecMOU3V
5ozwuIFKIoeo97boD5WnFpjk2j8ABkr0647rVEY+LEQieon9ma6u5UoXvdhSPBFyiglnxjxfHoN6
FoByeg/jiIQ2GrS1ceR8JoYS8SA6SjtuA++10GhlLMICpvyMEyjJKdBXKu6EO4xVYJ3X6UfrAnCj
XGWOgvdxGyRzw21YKCmg1WTsMQC0lCt/cMP73NrRr2N8cCtnLM/LoEXtgjagCTWCgHuDcC2fAzlw
O62zzyDt46g47GVHY4NpAcvvPmwZZOhLPtMgTTpnnYuZg2QiEM+Za+zdWsIWUDoBLTYILegi4ux0
+xCrgKNjHms3j8hxHvw+80QLyj1UnSp6XizUiENrOI33twyYWA/ttYhKdQ+kTZR9hAt6eX/n4xf/
UQW1GNEatxQEnCDIQQdHT/2Ve8xhjvGFuWf0Z55yuiuCq3HAcBCXx1JojHYnwKVl3NLmWi9sskXD
jfWB5AmE49JEv5ffLj0qOLBaGZNme1Xn6J8rzFoq3HEOp6IKLcolF8aIZ4Ie9DJHYN04MxTEuSXM
Ra6P1iO+jjA1XSenO6ov1PC4GnhM1HkIYYVRCKbAkF1sabhgFVoFeLHL62yia63cPLA66EdS1FxX
IJ53+MeQSFVew3FDAWcqVhuuqaQSaKyDgwnZo3Nl+9Tkvjk/7ivDMqZvp671yanYWp/tKeacSJwY
jOmGC0uat9pekHARZRmAixyMRnG6QfMPImqMiAA4oU1XXpdly9evg2CklAlJGp9Ch+q5hpcQVU6y
MpvOhVx5M0okHSU1xCwf9mS1TsDqidAq9X6wQM8p8njonm1vX6BUsc9jvApIeCGGET10P6veyR4Y
ZCS45MAqWVs9XXLLUeediAxjK7yKYDx/p52p+vq4XmmIOKxkVPnKE3smoYXSA4VzIbCLVYRURt+C
qPDWC66j7oQ9iqO93MgdWMuBd9FhBD3lIpwSP7ajcgLS316os4HksMythKCPVFEhOhlI6zAN1vmD
oLMJvtBFsqo44pZQY0Buutzqtt12LUmFi4EhU3J6il+4oqK8B9mVUbmXMXzBpop6NcSxUEcPqw87
83Md18qJe0mhVaQhStsTA7s7hXpALwK+eHcP+xkAl1RyWYEqyqTAubA347o9HuaGdViWLVZ/Uvz2
yQDfj8mLhb4dzpahpgYY1uWJx/Jcq0hrr2cxJgEJtECgzgRdlU4c/Z10t80i64b0HABwPxGZPN49
C6BSMNNAZMJ5q2Gsf4FYYRlTf9qNYCGm+FzWXs81Jbyx/hjdqekxasUtxbkNEchyhf4pQcreEvBZ
3HbLVkme6OwhQTreMC5wtfHPeEdWDWdCR7h5t5QYwSlWMSQK6c8spoxr5iJGwuoHZQT8nZWgaUMG
JreCIQvin5IUglOIyIHap9ZHkGXYTJEqubIZmVBShbWJN5lbfsXSvsYct6g/CZ88N2941qLIfNE5
hSbirrGTY8MjmBshh4HtlI/1LHgn9Mb1qe4i5tsBjES+HbC1gdZnuEbSzHsB7OcbFRG+3sA/VF9n
Dx0n9u2C7dSpZUYjTX8031hg2bPRxpQjVhIAyguETPQjKAZpJ6Yl4PS4f2lZ6Hu/GTcyH7V499Tr
718MeHogsXJi6t5TFjuXAXXLnmdOCLADswIO94LPthhI9w3cEjwDuGFgYIatgr3iFKLSCREc4cZG
OHF3psJrxq26hBRyuNxCdYqJuFhYfhcjJmtzLN4YM0wpjoyVaBnXm82bGMwsRqwc3KJEDES0z5Dt
XwtRe7Yl9kfexnLZfwAIYYFivxO0iLcPwUTevCpaObjMEYDV+FFBq0/3nQnOmNjcTUSHsIEv41vZ
+yiW8ZRrSHDGbBFnctQjHRzNomy/Nhm4rfxVmUDMATO+tyQ2Oyg52YzqhfoigCXTPtd4j48iBMkD
lpBi6eF3ABDOcqrDI6MfBSFxQPIypJ5WKB/PYAJoyRCJcfbGF4v8kdooyTr56rp9gzyh/AmyqHC0
FWZw70H9RSAtKCazOXdUmGIi8s65C8j0m7OFoE2vqpVtiSwemoWvT9LihIOFx8zFXJ8LXUW3aNQw
QC8qFljEbvvN0OF9iZs4EZI+PS0mpnYmdjcbDbJiomSjW+YgOXFUSoNGV0+rZ9lGGmoFIVgJGFkG
iKpSywjC2nt2h0ZR3h/yJoeeHGPZGInTjUa3AKkl1TsEObt82sSYvW2SIU6QcJdlZtKk4OMtsojP
FoWzTofu/+jyQ5Pqgg9jd/H7Sb1OOqreSYyxNfKErFwoG3rj7dKqJolUItfsVnG9MRbtuyuTjylm
k2kUdufbUgaD4WXENUliVlEOaNpGXrXAvlc6zyYSl/r6l79/HqOT4Me5efh9qcvRs7AU8fz7u7LM
H+FM5aZaaUGVPN+xMcUMZ2pTLtkw7lIZTGX+Pw9ygoAXeTAv3m8GYFC5MVG8YOJ2atNuYA//94PS
B5pWs5VMj5ZwQ3z+9w2Znn2ZD2xYFWxUNr8PCEpAd/33+e9PI+KmUlmV0QONC/oeGijG3x/RQedH
oW6yoKqWrdCC7BRyBBhmSLCwnwzmSAreH6FzPHB+j9YUQIR2bY7q4u+Pvy/+84frX4Ps5Df/vtjg
6DV25GD3nloPQloo864H8fuQrXcm/z2c3x9/X9Sa9tUS6STOCmylpBRb8kp2uma9sL8P0/r0/732
+4vf1+ThFiItlQaIR+1Ko5D8anXsNhZs+SZEGJGNhYCcty+dKOOb3d5wDKe/ISd4cogj7GZZB2WO
r0Vm6qjmGXXQC811ojKDChFW4Gt5Gx2AqZr/9liykfnFn7jroew/Ys8SW3gktBqNkQVMW0YJDYFL
AARjlRxwSggGBac2dEAB799wBiwaMyMk72E2YU3waJGKzx+DaUNHPzZ3NuQRkeahKtDx1R+kRMVT
N69sQhP1nH40l9Cazc+yP3caBUGtk6qLSCskJV0X03LyMQvJAk1uaIRQJEFC5fSQpWMrPjDvUQG+
ttPKMic8eYA5DLQOSTgLghYpAfW5Gg2iW5F5qcqWVo/Dcw+usqFqZeZozqBZFWljJKaSQhMOZeJ4
hrdemuRaljaGSFNQh2pUz4Lc55Xz6lD+8PsKG4RuqADsGbs8kToy8vZ7HtCb6BPCIJ1qGwbU9MeE
nG49mxDcQ8Ohq3BzpYysUKArsxRN77dmyUUdTXcaqY9aooKwLYiQUiLDKOv0pRbvEXj6FCNrwI7k
z7VhpJG0gEFCvwsVA4VCYh7TJhrex5qL1rWTSuX1RbHIHaqZaBNBXSKp2UV8ACDTO/zAAWjmCOJf
sW/K7U/7iAUSy1uC4H2tBkWdfVpUgDBC1cJZQWSjKQgebxUNmIFiFUpCPQkSKUO6TGDasgRK04CE
Syuf5TXrggqB6QXFNkAypWqAPMKe15qYNaNgBOJteqvxFHYFIQcUKJg7NAq1J5G9yxhum2pOFgJ7
wJ7NLX8z7kSjovZpZZa2SwY2OLwebiikJK+STmYIjnmIBPmBAug4u61YVVtLGSFKiFipG1rtFtIa
3mNK6SVTVSCn/Heqp3HXo3C/r+TmhCkhCCkavVBQlq1kaH9aWQFKMApBM6Q1EwhPHDMo5CQ5TdWh
V3TrFQObcdE8a1LMbTlXUZbW92hoNDuPm3qrCd3eMLQpzNv7u55oGKlMLVgVJq/TCohRS5goFekj
RdHBRFB6wMlES42Rao7xXTXLhLcA3LZMVb9bgXAuKRX/rhOPCGNVoTdqAGYoMUdC/QwxQUmLsJ1x
s+VRglSaIO9lw1ueCnSBFixhM4n996F+G4kxhVMHsQ/ax5My5vJGyZcN/ttE/4/4Q1NQbxPQMe3H
BJ2JS9kaqJZLFpqU7Q4+zX0Lb2VbxNJfhCAh0DQUzljy6TUASELXTNOkLMAtG/NmmEel1G7E5fmu
Q57t+07eVIAjoPlF2DyCYpMfJElNVjhdofcbGFKDI8bat1jWZVDWehBLBTtB11+nrnqf0J1WxkEK
FqV4Wkc6TF1LRJOjkHfG7fFp5k3qyukNgQkobxMUlVbqg5n4W7VCQZHCKW2gNOtQbSoLrEe3TOkW
f0jKP2PqLjFk74mseAUtAgMxWhiwrWZEwkC8pcm16MuJgTHryMZixMj2D7fWgTQcSaKwRJNSPU7q
DWnbRtsyRMrPIpb3ZgV4/V4jdFOSxw3Q3PSJzhpiV094Or2p/Ryq5l3YLikwDWElSDbzkviK2V8f
It7siqjsWm4NJUfQ38nNch6D8qNN5DcwrpAhtYiKJASxZ/q7U5KRCOFVfdBU5bWzJPw38TOMulQh
JqwpRHWPOzkhJCy9ycGbdePqBqODG7zRRRZ8iLCKW6MI5Iitfn7Af908EnUK0hh3z4dcVZuFQEYv
6t2QNsppaLNLLFmtz2KcR3J2xcRdfLrHzc5KFmUr08/S81S+3B8jTR2gWH0nSNvJeJ8f1jcGQmlY
TunfB0YNQNRv19pNoJxGtfkupMu4s5p6HyOSE2SQjmEPiB/FCpEQY/pZ6DXtxKbBuEK6IZ43kufR
yUCpcy8JC8umiUw2Btw3TyqbF0ap07RCgwHvnfR8nIibLa3wUrR1nXuinVU8dYtF0z0opT/ZHO+y
HjmL260s8BAj7MS8+L4ryHaLnLZLi9msa+aSvh3iEUEyGScVGDo0HtYSCdzhpMvSfZq3Pl4Ff3tD
gh8gfcWQ1CGBThO6zWnuabr8ei+TCZVYbQ6msdGRLkS8WXuw1aoIwiHd5xRGp/qlWLxII8LMSf84
CUZCU0wZF680SxcVpQrio4VLyYwTe8vSMqiYrU2iPOzkpjxO0/KG2vihK3tqBEhjoeM87tS0SQL0
M0Zq0NNZpWp4yNBCKaQ6EGSURMp7YriGrlWUOh9AXAQFZrQcR/I8FqQWAtGdBiGp1ykqtHe5uED/
OUyPeSeMOcLjuuUZSwkLgoC+bVr0XyFL2lJGBSUT/ou9M2uOGzm79F9x+HrQgyUTy8RnX7D2hatE
idINgqIo7DuQWH79PAm1W+6eCM839+NwIKpKlLpYC5B53nOeU34v0wrAndyxfhevoUn2mQ/7Uyks
pHLPPyWs0I+0pMHCj4crBQdPFjHkqIQ5ZJgAP0W9NaouPdaqew5ci1O7gapouWy2FuhIsP8QYXzQ
wY2LTtXa0ck1kTSz0pOnnmLzYJ9NbA4thdWkj3GaVj3anN/wnTEt6lk8iniWVN2Sepyy8gfBfXgu
rnytl5emVT41tSAsS8Xv75J4WZYguZ3je18WeBuGL7OYMLPO7Absy7ykl75pp2trUGAUx98j6bIw
p8OW6rCnUeJHz4Ku2WssSzKL8EPAZMmskpXi7N9GkXqLOi88GCdH1semZnRr9xMywFKdwGSCErKK
S9wW4hGM5JvVq0Nrs9xofETw1l9ekhAjBiTpqJ5nvsZfva7biWjpd9JSjJstqJnGQuXEdDs7wFSG
mhGqnzr70QoYEHpsctiGU9XChjeLHVCqVUxU0vvSJsFptIcvXHCeaL7I4PFBlKgPI9/TXR2G8loH
+WWyFmjfpdaYzOrDFCTVKcUHN+cTv6RNwFci0NMGwniwc8g/u1S8wKFM7AV899DcAiZA1qeOO0Ah
8GM6x62pvnfAU15h01/kRBAni4GCjSlVS7OdffOrML224YA7KM0OAOaQXCcJ4WE0q+PobWPQqmEl
L9ZkdHtvtj47bnYPi9S9tfL2E7F1rpM+7s2UQLoND343zYh7cxk8UDybXgBF4GqyabeB8L4PzbHe
utYjilmfF2CS+qYAE0BJA4VtKODUXY1uLXd51J1TpZpPHbbFfc18HbrDE8A35AtR85blLOiUyZS+
sUqk4VaUhPeqD306sB2WBO5IdJ2SwbZPNC3R32UmxyEFQcbiG+XM6+DCDlV96IhhYwfmLsxaYP2Z
/EqBQLqNRXsZCRkjWlpfW9HcF5UT4IBa+o3+8rjZvGPzyIsrXaE9uSxJjWJfutO8p5RHksdmGQFy
/pQPLUhEdBCKbr9WrH13TmG+Fy31DZM50lc1tvElaY5ewJe0tunIGB0+4CHj2nwEkxSqgiqFqiDv
xmmyHElaOD5Z2bD7CGvIv20Uym5lV8eKijQKmHKAWtK6TOFyZ5rKOtrAIY7sp51x0asCrOsQ9/YT
DMF9jiGMDfXZytrscUiC9BAPDNczHYusKg+kMyjAq0m3j1UoF9UsCTeBnE7uSPzI9wY2fdAQzjmo
dq5XMBxpYANRtjgsT2iAhydFEjr65Eu4TUtWkh2rrJfoJfeI4Kcs6reut2RX6pBY1I0l1zxqO+9m
L9N5AcYnocyfTRNdxBWW9VD7hGEFSxu4y8WymzqfpLwDC0J4VGoabG3qcCkB7VYXcozvzewlZyrk
E5ST7uvg1ie6qzskhxz4cgUqCoTzTeB15blFRisjflnTj+57hze3Wzg/mwsbQ2miV/smNrIZb4aR
mnJfld2LYSQzl14VsGZJ2xOgpZeIXQSSU4Lrv1/680L+pevvDFtFt76Z3ttiND6y3XW4dr4tLTXx
sHOVm6DY+MwaB+OpKr1TWLJR8AammiZt8bA5maKX3h2boW2ZOW9jFrv4moE1p6IoGTss+Lf6FxVO
n5AdJNsnn7OchBzmtQ0BiqC+rr2p8KlPGZv7s1e3nFua+Nwx6TdaSlKzBlhonvN2EmmmuKIob+BC
6V2oqdiWOxgnI2aGA0vnkmru0XJIn1hjcfKK3nkQozop5BEVhfQvzHS0iaBp7vh8cjpNnWWbSpNz
p9+z3HaN7zbJgotvJS9TwmXVjPk28mnhC80SlvjQVO5bq9p32F47i9Po7NIgUUfC5wfaL5UzOrt+
br+ao+YXJglfUTiPMl5erMR8jlNGhYtiLO8HI/UdOaP+cJ4XBtTN1zgBOu9MEUNKvOZdjf0/bph+
gMhl21Vkd1PifDC8UR1MWiaZe9DQ8G2kCpVOsBqrhkF9Xg81c9fGj/kyf1qWmQgZgMbDQBtZ2XXP
9DcfjTyKPuTyc6fU25QCMQbIY97UyBxbnm59Y6Pd2h0Q26kgHYKDxKom/Ar+WfnZbdxeadb82i4g
GQonuHjQBug+ghlcpOqpCwr1SM3buzMSI/ElqRBqZORN52XZB5nkL+74qa4q+X0RH8oke4Q525wo
g2IMlE566MwkqAuQWzNxO3FB2qFG/VBNoI59wCwPbo3iSr/QSNdIeOBURGp+y6ux6DYcd9ypmewZ
UExvZ2WfOWGp/ZCGOCVLzu+1St6SKv9ee1GDqgtV2wqHa4mXUnFV9Rb/e9CZ1s7VaJCkXz4B1Lam
O6DBu6DgRYJbUR0aJ8QHQB9oYj9YrTp6WcGeBtx3yRl8M1jTVSmI6XbksOCPb5eiUmgJHqOLejlO
0DWo1ZyJHQyAIxL3VNhac9HBxLFFxJj7GkF8oI5rXFhM2fU9GV9GFw3f3bgRL2UQvDuFUe3ToftW
urzjdhLWh3lx753cQpFOvX1nsCry2NvVPlEaYZAGhE5MRB/D+CQggQTktnjX+fqIeNtNHl6PjBLN
ScU2J2xd75DNIS1n9feEMWXfFz9kOEY45MmgthiYOdOEgflqFNiJrGiZd3POHDlhGGcIlylN+620
SEFR2jN3TXVqRcXpVbCVC1X8eei6l0lRD5HLh4AauptsMCghoiQI7yJQJcNgxUzFzibg3zDy7rHP
2ngfj7QGr/Sy//k2/a/oHZJQPkec4P75X9x/q+oZQEXc/+XuPz9WBf//L/13/viZP/+Nf94mby0V
6z/6//hTh/fq7rV47/76Q3/6l/mv//7stq/965/u7FZE2+Pw3s5P792Q9+uz4PfQP/nf/cO//TdB
b4EP+uw/gN6YSP3993/r9P0ff7fE+hd+h7wF5m+W9DzIbwKg/t//Nr53/T/+bgTuby57Fsu1PSvw
bFf+G+PN0Yw3C4Cu4wcuf0/8wXgT5m8oDQHio+tTYaD/1r9+8T+9gb/e0L9RT/RQJWXf8cTAzMJw
+/lO62cq4XM57HsBEInAtD3H0Qy4t9enpIz0z/+Pueh7VXqJf26c7PPEzAg+qmQ0bWyGhkIAM0w/
ATRNrr7RXbtk6fDWS775wCWZ+pCg1XtRVJ3bKGV3WvtfY71bpXujy5LnhDXIUOc/qLvCK6+3t95X
GlH51rHtHfT+19M7YQAaTGB82KZme00UoJ1hfKZFPDsVVI5j+ck/2qbpPM5efTW6CVbcWJ6TKAHA
VBrjwS3D4JyN/gdRI2W1vUc8EJ9q1PrXqPVuQr2fl3pn7wwGPVih6IlMOTuDkoxNbaEVlhnzrTx3
P8dUH99XNpmxHMZ9nUbLnfSsberiPgxr4Tw2pfvuuYh9XazeaXrL4UvJaxL000kgTsCzifZezhfP
CWFxisoxLpRfHoex/zImDn5I1otqhBkkR+a8pTU9g8je1I64tcVQfHMCVwMLjlG1zI9TWJoni6Yd
FlvNhkIPvO2VnR5CZrHsa+hjUSgwyMFw39BkaO4ykZvvwf2WYPuoAZmSrfJxZc8yubS1x/acMcsN
X/zlwkTjSOc4mPbttKpBksZ21CG2PBS/oxf5CEd0YNrXWWtJnlaVuITfCa0zgTjbTAhPAgFqtpNh
N4Ti0OVxcbAQqRqtVnVatwq1gjWuWpZWtWatbxEC6rXeNWjly1qeBq2EdSSYtPxkST895IlH19/O
pmgcKA92G6/HwVUL8cNxyosTjv2lNNprOhnBFQzu3v2U9WRQlmC6zaG8oRnH38RIjVFrm2ehdTzE
jDshKxbwMpmOSfVu8PRo/wb6m02FcTDZopZaGUy0RqgQCwFpS4ADqDIIpqfOwzmUOm25gQnRbxdJ
5i7Bb60UcmTFesoTqBhmFH63ULWPTtbhPtLKZaY1zF6rmTWyptT6ptJKp9Sap++qr6UZT8dc9LdZ
tNDrELIPqsb+xNXqJL0IQq3tUhV341dV+Bm4M6pa9OimR0fh/IlbBip8wLDYkGGr/RdpOAvlZT5O
ZGQJfBCPrdZwlVZzU+uHaDH2xsYQau6XuWmNUDfIMxzz2AwxaisvfOOmLZLlpRA1kb6gZfTbJ59Z
XsO4ylyxib3CvZrVmzF1eBBV8SWae8CGNDJv7RY0CPN5O/BQqu2Q7X0NTzppAIlBvHL8Aom4t2ie
l8b9qDXvAvGbIsE5jc1T4ZvbQbG6yQUquUWoAtj0iDPP3bu1wPY9YzNmpYm+HrFLybJh08+dPMq+
2VNlxGVdocoPpBmTEQpwkGYvfS5uQiT8aELLn78meYKVrwSlC1umHTlxWfOMaaUxb2w/AYCjAzsh
nxq8IdYik+OYoinFBeYG2ybSWHWPIA1/iBCnIDpvRHPwwEAGK7T57rvIKcB24CFQIhXOzXFKizee
N1yIzDvVFfuJkokZtAb2yV5VwQ4h1Yc2RLK1ixGdvkzk67OwM3ZdwaBDLbjxzPi54KR94849hoO8
QtXsYfK08Po2T22FnWwJsSFJd0JeeoqInIOkTE52nd+LbmQNJ903FcfLJmecQtVEg7tdS/AzNPIT
czkmpznjWDcFweCy4MqpHBUjHqEe2HYhKWt3tZ9E3LvAzLFHW/FGVQzMhzBjBwFWKIASt+mLl3pp
sz0XKuDdaVLi9QM+0RAFsMEV5NXCIn3+LiMG8VMWkgmMon0hZn87u+1Xd+LzIyZ+y6b3agbd3ufi
nUFITtdAu5xaqCuZWTP9ruZrkDjjdkjKt4qaYjP0sjuWQTNOs95AXwxjKoIIcq9wozGC5l4Fp7Kw
8fvbkiSK8b4E6IfJFKNtTSal0+M7Kz6E4ylgZJY40SeuuXs01YelpWzFpFiAbN18TdOYc1JZfGOP
82yY4cUaO7xnRJLcyFYM3dXnZhp2BkYzaqggfbSWDrTZlzjvog+s7J+oZZf7ZcIA4wiZEYZsHChr
CnYJ6diZUREGZlacXmfa97gd1afZ8cPzkPYow7Y3bceZXFlXowSGnSjuTI+ItWOjoogOy0jkkcSr
xPIQZm1PUKK5WiF+8kmaKFSpNz+gh1V82JFWEgIaPWTEmzDygjOlUTjAW5aTU82CGnhXu/EaDAbs
8uxDbBNAINaK8HYyZvCNZuAT1egwMJQxnrSgS/uzQvJ1lVzuHLduMDAWmJWq4ZKEI9cEf8LybOTP
/uwDQ1QNu/2ZnE/UxTtPoQd286S2g4lM6drIlP3C69YuVNNJVVEPWM2cfMN+P7ot7Wf1tXAj2vTa
tt1Ednd1mYhuJbUt9xB8Dm7k3C11MJ5tdrJdnGSXMgFoaSdHFRJMdw3wSFMA8owre3Oe8H6ImqE3
qxZj71tANdLR5Yqs1Z8qfkxMDz1clPQ54LTy+uIYoPdg4weZ6LcehKsBAkRu4GaDbo6bqe5PjNm3
eULID/mWD4JPICi2feD3wj62H4ykJooBL/uGksyPoRfjM0E0OrhhrTYjzZfHdlBccjOYYq51lSEd
x3Gaylu0MJKC9b6pjenKXA/VSOE5zYByumNLA4woi/suYRkQQFIwoChEufEBPnt0gnKDa8lwCZoM
S34dMKPPTRRtJY1IqCaNxwnIAoqUhhrEm6fDhx4PiRfV9jFaPGvZqJy6qCjCsRjWLj6jGFL/6kcY
Wp9+mJnQon1azQu/XAqimxsIA8PGMwGa5536MHnhAr6MfHDD8I1PGZnN2qZknq4Q8gF8zM5u7XxN
YemRb1N4EDH3tJzEjmZvHqU5zOf1sOQDzXIieM2KscONqd6MJdTuDxVVZ5qZeLdz0ECI+NW5kMtw
DKWBpRHntYgjWpqTADbNkJW4+hBl+84HIcDIwmEI73EdyCScTEN3ikfGvLP6/hv9A3A/s4oNu36S
UzliVLcpU61CrIrTIGOItpkJfOC5Ldx9GLH3h935HGZ6qDjkzdmXfk1dRXdNqzk6rPei2r/aizLI
F/JBnFF0z+stuzV+v7XeXQ8F7kCnToLjYI1AyfSh++PWbDvGSVNzVZhcYn+qzlXw5DA3uDS0dZ+A
/cKl9a2NLDN8NSnU+0qayBysX/eWqB/Wpzt62PTiDEu+9r2s3pn14Ix9CmBBOzbWgxvFHuRm9/M0
L4A/NGNLwXcvj6H+2k9Ji+OVvQzX1ladUu0A6YyGH1Qtj603O8HLmzG5Y9jB5820PluK+mMfp8pZ
UVk4b9abuSQuTV8eJhT9tma+g/dUDoS8fh7XByxRPSyumSPET19WZxOfz+qnx2m9ux7AytZUYvLC
CGrQXfbJQKTourY9hX1Gifos9WG9287Zu1l3ze7XQ1ndInYGgN8g1tU/Xwa5vizra9XZ8iqREfb2
x7Ltl3MsW3EOF7byQFfx7CZ2fFkPnb7V+T+aAYdePJL9yyhOIJHOHqUqG0yuZAHhebvH1Qz16xBo
g5SJJWWfQagsjNo413FsnPNRf+YSvp+NgcfAGDqq1DgwN25Rqrv33FxGc7OMDTDDzjuudp1QG3nW
w+rj+XmrFEi85mKL3WT0X1Zn0nqgKovTpU/+mIUj576hazirB9BTwCuf3WS4C9s2OqAxM1MIu/Yp
8MZ5v/6h0l92p5mYHzYTwYHV+DTkpJJM8Mzb9Tzh6lMEXUTNeb0FuLEGHKDvqz76lPhjtF/flPW9
WN8opd1Xbul9oOcOCF+Y4pdqXCL7sGJ/Or7+8vntRhrW6w5e4a8/8PCBs2w+2UNTUoCnP8gTZ438
RswN7lgWBP76gnAd//2lWl+lYKoVxTjpEJ/YTvx8Cdbfcv19BXOZ86/fnNM2Cds2PhVIurVqmTOY
zvcKBu9NPJXi6PXWo8WO2BNMKaXdamNaQNByEV86LfzZyt31PTCFuXo2ygHvuM80w14W0th+/47M
5vuEbqd8nF9aFHnovlQdlCUMqAxeAJUAfXb76zAFcL49Gvw6idgocAy4C1DclkiIRwzTTuSTiv0Y
G+1tYzR3dhQ+tC57NyPmQi/oBUstIva2exKdeKr66gOQAa6YzOIFzmIvY/FuFXSY0k00qdu0LN8s
z/pkRmSQcwMs8zgmnwvzUxqDlsv9+iVS5YvthTBjHL4CkGLv2rjMj5WYHs12I6uGdP1UXBNUxpvC
xGPiKgfti51ny+r9htXOfvCgzJmLzPZRPhzHcGbp46mPaW3XFyaIt70z+scoj58ba6YmmYWqKRg4
wD/1sCNwfY3wCg0+pdKWY2/gXKKn+R9TZjZkG5KL/81AJ9jNBfCWwR+f5IDpaPbVGT/lbd6+TTb2
6aca6v8+jA0wPUVGg/L0jQ0J+CvDuDMGgmW2AIIbCXbrvk8FFp1GNy4NImgOBu9YS8Je3pf5w+xn
38ESk2KdEaohsbx2A4sVY8Zbag7Z1ZcadY/rhT7VJ789BXqrZ5MItXzoI7LqHzIPQT+eHOhIBWVy
Y3E7VA1xRea05vQp9Agf9REEDhYZfUt3LEvI5KajpYI189ar62efIY7lMNYBAgmnOktOS18VMMZ6
kb12Un3sXP+r4kVYYvJ+w4ifN3DlhzbPzn5hPkHab1AXnF3dLm+ZzZ5apaBL0rF7FATCUxcHOZM8
G8Zq8mmgn2NS9vMchtVNRKEJkPb3tnWoCnJQs+0Yk3k3POAj2cXVfhHTpWdkxRf+R6eDaQHdMVvM
bZk9yWuT5rtOEgobYminwJGxlsO3qs3uqahxnM4EPJk8ICB+W+zsKQ20hJy5t/kMX87Pyqvu6MKY
cu6L+UKb0T5TZDeUmN7KAQ5z0T4vrfchs4IvgTtQ1cP3aKkWeTIdZscYex5yul5KM78bM7zQrEkP
rTu8VFXxxLO8sVQw30RW6mPeZuMlcqhWlNhuZzi6KCU41ypthUyWrcHbEI0PUy5YOEIrI6AF0ccB
Tb1PiJw6Qs0bKSTwhSJ4SKbuZZnDsyfDGdt299JGMdXhWEx6BsdUcPrAUlqc4v2UqYudNMmBEcEX
rL7BNrQqLgVAvMd3r+q8feiT9ogb9YolgpOfMeykHWChWDgduAMkHy8nf9P5/iY0tnEGCTWOWCsb
eXJxS+tj51Nv7Ddjvo1T4IV2ywyzhS7Gq9awTgY2XKjxgmw9b0F3H2cGtjed6CmuHqne8/E2D2n5
I28odFFu/eILMhu1CnaVZb33c9Bt4wrvHUssxnYhEK88yDdDDQsuUs0WBR4qDoS2LMbUViiQeerg
ZBMaUQGDw8zcEiqtgS+tMa6mHV1pmQWXwGj1oR6yeRO0zqGT3lMQQxKslK22NHLdiJyxUTq7P1hZ
RDtnUFCq8gfPjiyuE3hlkkf2xcvVEsm1CgADGO7wwxnInQRgVvgnXyfZmgdg819wBVdw6AVEZdsi
zwsfz6dXfXC+i7z1dku6TNj0R0BENWEEyC+Ofytr5sUhaBSxuETH0oYOdv7t2gQm74XlM5PHh65E
jS0yaMZmLyAf2zltPCDOhhAhcC6vXTSyVcMISwb9CQbvN9d0qL+GfLpZPNpWe1A2Jv3gnJyxlSaF
JBWpjipT0amIkQV6oiph6P9I03zasQ2R1K4mxPU8xpgF7LJY1i8divWV09o2mXg3ZdT+QPaY9622
z4usPpph+KHhHHQug+ZHnI+b3oGPWRTte4yKggf1h5/O1dYor77JPD4S+SOGGzAIyoUSVZgk5YDV
NIybBAICJ7J9wTqQEq+XQfnvXNJBD024xQIpIE9Cqki/Z9KddyOGhas7cm1MWZMNwmEU53eoV/u0
w82cc0nji9S5O4NYe+2RNM+qpb0JlBGdCwIrfvBgqSHZSoOzDKtaqOrmaHMaxKTZLACJh1aC9/cd
gjMAI9rkqc1kceeWmH4pOKLxdaA3if+SlXsPORtrMApgDgwxAlGhFmW4hXhPhkp8bamZYp05jIeq
kFDc3vGkgIWwgn1QFeCMrV4SYSPY3JNrstHPN4xxzk0Vf6nMBhpAvw0auYkVTktnwfoUSpw9UZHQ
aDbBD1sSEnHCuceqSfS8oT88s2Fymla+V7b71KW1x8g7S4+NPDpOM14Nl2BQIG8NdmFbVxRkFMTH
MmOSVqYZwNiKE1o0qIdQORQSgmdJQqx7Bej9SIlbh081FtfDko6QBJ0R3vRsD3sS4rSubqcux/uA
W99wiVtZeaPnsdFn3Ujfd+KC4I0LZ7gR0nqK+Ohj38YNt5fe+JY5usLhtit9eaOYJGzzAY+fGmz2
TAEl0gUxsQRuWOn3uPCM5GFWB6w1JkW0I1xVM8DSKyVwS2zQCVPHuNBwIPE5Q9++wcBZndeDp4he
ZGV4tMr6o+DENm5HjyYzr7dRvBCH6oF8GlpwQuA43M1JxsU/+lFMYX0JR2FShg2jpoODxckQioGT
33KZ22TxENwxwCUPM5UfUvUt6S+h3cgdBZfkOGrgDKHjPLcYALwagHlPD3FA+Qs826Q9zrn6sliE
3mNy4lH+1cxwKWS5/0in69ZRrFva5NHJeT6dN36fYqznESazwhe7wsNPEYpXKef63Je1y0b5tJhs
r5I+fx+E91Q1JVzDDnSEk36rbfFtQfEgU4kzYRJsNXWazveNW5j/6a6vQoiNA3Fy3hNOw1lJkW7E
6t0YXN7OmIoBoA/jbPk3SKZPTtNQ/wkvThbM8q3gFLrVyKw+baB8aClpLD61lk0fstfViJnOydWV
Y7kcLvOEjSt2xb1nacqPnxpU+wSYUpKK/jSYU6YGw7MbgKamYG1MbdZcYzcgr1WAcPBiCGnylYYS
mizNt6aG3BvwPhZ1bO8H18KAZQavY11SGQaFUmflxLLhK44zQgvmgzVfveZupAAUM2j1scBiyP5q
pgXecrpzP+eY9euIRrb1vtlEPVITu65PuQ5+tKuOsJbErPd/HZI65nQhOdMbpXeeZqs+xBae8grh
fzvrf8Ew+Q8k657N5/MWJ+kZUn+Pybt8ZCYy0X5JvmR96NdB4WAEeYjjpNJJiZSCoO6oBFEJM71N
l+KLj5Sxw5M+nH2PeTSmUnUu+xI/TekvcpMm5BQoAY1QBKJoPA9MHc6jPvAErosVkaTVj5vuF3jy
8ykp3PFMFcioQfTozrOkoSCq2jOFJQMDNyYj613P7YONUdWuFstodNciR2w2BXQ8ljMR+ZgT4y4o
t+UyUn+APCL1AeXm3w95b2I7thcL0BMbe6F38lPoPJE2YaWW5B/laLd7OYXjeT3gAZzOi0ZokhM6
hnrjnJJAQtrisN769Vhljg/M8BmbeRaivN6BR+GszngmKYNf7/96sGzjbSVzC1DFOJxpktq1mVsf
DcnmaJnqmKs7xU7bVgJnq9q+P+daKWpK36boOQV4hKETtB7TLeyfNeADDy+3jlqtt4S+u97SP9HY
fn90Ak9su160EF4efMdLYboOGm5AQOVs2ha/otuKDQs2+1y4tn2u9S2VNiB1mXyqzsf6lI2CfMgY
0MhEdmp9LI04c663rAlGsjmQx+zK4d0idkP1dsNqwoits4DHf8qab+ud9WHRU6OY8Y71JmTI9dD+
cesvd1nwdvix4desz8+oyIeR6LQ6fmFT58TWw/rw3PfhaQLA1S3QKNgmZIc6T+8sEXM31092fcYZ
i4SNB7B/U+vnKKgTPbv6sN5dD27TAxRtn7KaK3GBpe5Mtmb97//bk9Avkuvr2Mysn8f6JzMfhIRq
GFh9GT5e/6No2vtAzfWGOsmIPddN1ZjQzdisLB68fxCdLjk/XdDlucw4sLT4ESC9WtwtRWCxpkfS
NhRqdhf2V8sGgjP56Ws25d9YA5HzmylgtzFtWhXgVFk+Vz2fkozu47iyACNlJiVA82DiKuXlmkpS
EuGsk4QMD1XSFTsLoWLvzOLSs6OhLlIeIBu52xbGwQ88juw3D0tIvMduIwKo1ARHMJ4T67my1LuR
8xu49B+RVwX7QpkRAHXU2FZRY9y7UMuU+cEwaHlqXEBJ/980slpP/m/tgK5lW//JNHJ5LbvXP3cD
/vwr/7KNiN+kHxCEMX0pRGBbwR/WEcu0fzOlsPGA0NEnhMS0UXKKif/xd/whpv4fDTIBRmHp8Bw6
hjr8ka4HpDfQ8hFPXN/CWPn/ZB0xzf/TOkLo0fMdy5WOb7uu+WfrCOMZUqIRfbNWGJ6cNAcAIQbz
6vUjJ2ROSJFJMXo51wdrHhr46FoVJ9tR5TfryX/w/NhiyVpp03x+Wh/L9M+st5S+hPy6iytjo/De
Htc/LMOvSSjq06iFPEsr0ustR99qh8Ghxez46+Fff7Y+hskPzePXH/dVxwnIyS6tZ+f0P7CYoy4r
2skm3xVG8kUVFYTf4EaFjXFadJVEZjIqcHRFhd/F/FuDLpkoKXiH0VoRXXab+tgGZm5uaFApowls
tTC2Y2zEl9xOpp3ruj9UPzQHz1KxuBJEOPpDK7ZLIU3qMTh0oQ4J+vlntjm01jsT31KT15ti1e36
OrIt3Bu9bxxoW/796sl/j4HDn+9ODFeWjp1Bt0z3Xh6lN5KGdJjew+26TLEoA6ld8kDrVXQ95FSO
sbIu2EgIAh6hR/1cIANIFiRY14Ox6OTnepPhDKxCfucKvzQFLCS/fj2N9bks+gmtt9YDz6Pfd+b4
GOiLe6MV+l+H9bEeqP/EWO9Ypg3GQcZOUk91UlRMt6J5zN+4JNwA3TE2dnwdrV6vouvBZEZsVak6
Tkyzbvqipregz439omLttp8AC8vkvJj7xGonNpbIzqgM8xirc0hVN/zV2toOBKngSiZojlJlB58R
zroCSMiZMTOpjtN9ZKiA4DOFRo4F4oAOQA/rBo4Ks1O0WpgUejTkAgoy+hgv8aHUuvCjCQB+6PHR
aGFKqBuLFKF/pUOoPIeV+v1gD4V5NH1AEfqhpKr8vT/Etyk6MvqlHp+shzD5161qJpxp5U/MHz57
M3M5l29VssTos43l+gBxT6wE934cJsfS45MZpAOYBnLRqZvPP5ehY41ZM6sEqGq9II193fBlBz+C
pqAUOmGCViz6wvvzp+sighGx/qToqLf+Ek43SWc6R5UKOhrN4VEgdO0tzzN3RErejM6hrilv8TtY
3gBslIVZo9PdVFvP27rGhVLUKbD7sAWgrl8Od/b5LjV6p7a+DDKzIALV9dNffvdSzzAjNgCHPmyp
CxnZi/R6+MRArTyvt9bvpixGpO/1JoNBVkClPA5AsPVIQCTG91Y1MUQ05sp4Oe2epfhIfd9NEwfU
jTcTu6rZLHcLDnt4r+BCYoWNxx1ihqND/dGdoPAuyqO1pVXPuUF2PBsCLJhlc8DRfWyraT/ZIfjW
fjTPo56SuPmhMymysvV4ifhYzVJQaYRzVNkbSsKhqkhoCqP21folPO1wDtsdhm9oFGncbhtFftJj
tNXqmaAQGIvzkjMFFhugFsVkoWJHr8Ufmwe71aTOiUqpmQ9opYJll/dkgVTiHzOVsNWSeDcM1UHF
gu1t6YGkow/rIn69tT7mj5baZYTR12+/r3PgzZoQZ2ePd8qFghfXChEFfyOfCRavDab7nWkJxfCc
ipufTynLp2OjqOzW+6f1IS9wcK8buC5U/mrpvca64WDKoM5Q5EQK1oDe7OrowVSSS8nbuX4Wft4U
ep49gFQM9EjRyqqvQZk4u8wJ+3NG3ewc2WjMWOVBC4xi28sFx3YWwOWM1F1cc4aw9aiZnPIWPe4h
sOBTrS+lwDA9w5YbEzq+Zhk9u/bjUhi7pGKq0SM4bs28Ran549SLt+oyCTf9eV72Y3bWIZP7G69N
yqNp1cYhi8ZHctugyWkkx+V+m1RWR2B3ILobJpDdPI+OwrYiNrfQoYhiRMlJ2l4ZxeB1DJOBTSNb
vfWWk1KA5MELKoaAthfdwfSrx2m9G9rDd7JGwy7G7L6Z9X+KkBunPc95nzNIbVVCAGmMzexS7yv0
jrOMuPBOqV4zrjfXg6cf/HmLhi3sRJw226gCOsqejx6JhCmeYKEboWWfyC0Wl8XMi8tsDcWFMBEl
AUaF5N+TPCIrC0h/5jQzNQMF5yC6AnwGdM2HcarrpRbk7jPxluAc8SkCk1c8lR3u6B5Ic+P7j4zi
j+2S20Rh2XT9b/bOa7lxJdu2X4QOIGESeKU3omzJlF4QKpUKLuFdAl9/Brh3tE737Rtxzn2+D4Uo
UqQMSSRWrjXnmHbaQo5lchKI5VpwvQ/FDGwaBQaXjDd9om057S3TJbTX1Ce3HgIwGpzx+zCoGMWM
8ph46jJoUx/GUc+n3hhW40QXdggd8F8tVoHQdiNy26yjL5AYhk60r3nUmcnTcA7qACb9FgPWBjdW
uPPolcNyWd6pvDH/fqeuN2MKIWAFmk3tOu9onLVR/6jhrqaec9slQ3ToaydmV44w4UQfXNWcB9cD
7tR0Z1fFyzUsK1nKnmvY1fVQLGWPT2Lq0QXKKMMlVOuvL6Bbx2/Y5eqr0eNdLsFsCyth/epgyQgy
8NrGekzLUWCaGj4EE7IGbfmqUsNrEpUfU0vxZo8NkCGjB+M2mcx9GUNO8imvAmtPL8PctJM8oajf
hnp8UW5sETvYp+tsfJ0y1W7d/qoFHDCrI4BD0IkLkPUlto1D49avWI9+ZKHOwNq0835Rnbqq2rb0
w0dORloNyaXDKrQXMS5OBgV7VUGtcZPgJbeSm26cp4NnY22d7D+oM27LiTFNH0JmHAjyQ3o5vzRB
1DGOG3b2jDxLNvWLN8A8StSLxDd4y+QstxcEbKKQHqWxTS6BvG0z88ZMymGHRP5dlsy55jTY2tRP
WyJpSYop8kMq5wGJickWzq8PqmZKrSTQA/JtN8jjl+vAR1XisjWqGpdlKaCn1VvroLNO3Nex95wz
geInyziv7sKEDpvbLVefgEvLAtMpQm2ufeLDd5Sr/VZmeMFQqeI6cPIfiQhgzyTjvNOztl5arkn+
YP6hgwtQShmfnWlDlFD1hsHfgvXxJuSCVH/a+w0QkVykoPth0ZIlwhNKU1Qx/CkGlM4zRUagZ2+b
z8m2LLt9hMewxj8E6+oYpgQmqogBS2Lm77q136ZptB6GOAc4IFa9XizUAkbzpN9J543PwmVuOSUk
J0loa2jk70RrF0dnnHh5g/DDL92T09GOlxLPYpknakMcc96nj1mSE3lgK6R7uTza/oTk2DU7IlUg
HbkwCHV60R6DVkTG1c5wXbRVXfQsaugxfAiAzRVMOTpgUlxVd4UzAGQsPHtHhu0mniFgJHEBHdHY
JUnKJS+Nt4UEZ9hILHZ5bCpyjYZ3v++cXRCbL6O76B887KlVfnBK/ycOYDCDrnNbxID624snBgyq
NgNnqcvx0iOhLJB00d61CPxcgtDm4KfyxwsW62o1/Oijh8xDueN1KOzNgVlM3OAkmeJnhyED1AsT
CjSz7iQp73GtgcDMGCo6Iw/XmpA2N2nfJf9GxGfrqdm6VawXud8zigeYZHN608EzQZyEfbVCYY69
aj6UYniYohip4cSUthHEabnB7zZqWAgdJBMOiYB7bwjNvWFqb1OOBx16d0NaBpzFPfrTHLeWwTy+
kwwXqx7SRw9nKSQgQ01lzP6E2KgYGUGEtThFhDnmUK1z97dhVPvK4g83WwiIcEaioHyNdPErint+
7ZE2DFOWxYCJLVHI+FcpwbzLof9pmY76hbv1YyB3aWS7jF6vf8PDzx5K0mPpCuQSkSs3tO/iqcqP
Fgp5+HIah1HtsWealu3aoImoIE68YYvl4sXdXR/wfbg+6PtmcX3mVR53vfPfvvz/eF+eNNDJqmSZ
X3U21VG07Grs5Ypr6UXKdr19PSTLV75vjtdYwuttj5qRcE15acICxtBMsXf9X+eZ1TEimYcO5cXI
2TNc774e8uVR3w/9vu/6P89rF4rPP7/Tv335evN6SEv37x82PWV41//6wddvbhpudJxirE7Lb/X9
wOvNv37A9/cZspAfiFYK1tr12dcvYWoc9qHqjgz9gu0MGChdrnFYP4tTH7Zo6RsH9eN1t32983r4
fsz3feW07O6/b//bY+QQJiucmD+JPcaftnz/78P3Y5EZUmF+374+Jl5+pe/7ir5KZzijyyP/42/W
B7D/Mr8A8vn97ZS/5NyO6UPlNDacxlHeW8yDd4VFt3xoaX98H7yl6rrerCfIg2OI4BZPAbXWUC1t
lO+v/3X7P3/N+ed3uT4ec9jCIizZy0IYpybnt/PgrQ8m84HrVlgx+xvvrv+dHcmmQtfGWi8sJ3dR
Cl7/931IFqHg900TEb1iMSWcmCd8HwojgozT6hFvxL884fr8/3QfZ0xC5/Wfj/5+jBkED1VVgmiD
X0JW58ChKb5wcsLjrgx///9bmP+zFqbj09P7v/veztjn+s9s+hfvG341nvR3E9O3/hHIgH53sFjV
xLf7zQ/+4Uoh0RGQAb90MOlT/t3CtIN/WI4ILLqYtucJy6Tx+d3CxFpHY9O1HMsz8d//b1qYtvhX
75vjCxP7ne/igWPCI8S/NTBtz46Zv5P2M2roosuOJ7s2gDxNgnJFKFUQsVGam5OSzo+8UhRmfhEf
TP2QGAqY7Qi0tWsGhK/oDkyc75BnSr3VHeUCAm0cYHbObrNCX6Ywi8RZ+pQZnbtF56Y2JlB8FUJo
GYMkPI71+NUI+lL9jNXwn2/J356//+7xE475f/6dvFL0kU2U1Q7NY/9fG7UaBaCbCVKcQxT2QMM7
jLRZfgiX7Xu4KB4T32bXEUA4CRataGRxX1T6Do6AdjNkszoUlvlShPZpdk0u5g2DmjlL4QQ17P68
kPREG1BbYD17nWzXwBeeClju7GWc++tB5bjbvUCb2zAId46H70yMx8RYauaKsPMiLba5R6d1N83Z
eDZUeZwQth5QQCwgY9T6ZkjiVdBi49OJ85HZSI+bbApwXjQ/rhMrb5lhBfR8TgTZfg+srj2XKSsl
jICH77sD2RBtkkfMhDt70wZiPtiLnPN6iBP2RzB8mOUv/ejr4dqPtsPwQbNfB1/Q0S+BsEWgX2j/
LA+VFF9DCax8ctAAXseB0VS/lWYSkLXAXDDuec2KAJ505JnmqTLASBUeQoEyY9Ome9+lGEDbEblq
/rQcVrKOZMtMZ6d5jH1CvNWjpwa6tWUenhyPkAE34xJQLDfnzgz+2+F6n1FJ/AGTPFR5Ee8Tu73X
y6NaPn6LVOggNCT3lMINCjIpoZmgjJQWD17R2oiOWSPXYR84pxrLwen6v2lpAbav2CIAwdOioUWF
QSMqKLZVfagimJF/t1IDRqpAWrrNaOAGApzgURzPwSrs6g+RoeS/jtCvw/TJth7MjrtmGMw5w7+b
wJM0YuMBo/ZyqDyE63ZUJufBwMjYly1D8ap/ud51PUSR5ov5bOwC136YzUWaqaAanK6Hyv9jLepj
VWD0iZz3KlMDhNkbz+VDVZtaYvub3VOMjWnjjC7QZTzzAoJsYhM7MtT2uSmbG8XFDGadePe9nyai
1K1GVrb6HuFXNJRXuPFeSoPqoxrJ8esqh5FkIpAMFgjxZyb7w/k6iogk+ppyWPT5bfASeGm+C4uU
pj/9iy6fibdPu/hcTJEHCyb5EaUNewJXIXy5xy+ZnJoku6g+T/Z1EG1iXfsHEbigh5DyyxTJmKHg
wKzMgB/NSDwgy6Ob9kanbpRpNCSS1/baaHDpMkXpnZ4YwdCfVsnS66Yabf7q+2kTdYBVExhaMqm9
TuIB2CzZYh61d/nK8+XxOqudaX9iQ+01YG7aet3EfipGoJUGnKL5QEPALAlZEDV97NTZOYEGF92e
s7oES1Z1L03SfXizMk66P+jZB4oCkrTo5UDjKFYEwdVPwHqGMyYl7DBs9sbiuc5nf1NVwF+v43KP
SsYhDMqNxmDlqeonOecEddEKpFvY7sMoBuhq2OSZ8BLxKQ72wrZY8ay6eEHXl+90pkgBij7LyZOn
ejmo4JFm7XTMaBWuA0VW3HWh5NpXH5x82Ia1S0qnzh9a2ctNjkCFcQmApbwgVZEYhTZGt9mVQBIy
sFzUW9olsgPrh41B79oQL8HmHIPoOV5IqlCVzl6X/QkiOKoTNW8WgncQw1cKYG2co3Tni/QGAwht
ahW8xdJZFxDOdmakXhBulMd4rOiWhPXG9yWYajcOT35CirdIvY+utWl+o38nA90QaBKzHyNsHb+2
nwuhTvPEGIlp1G3Z14uQNPyiv+NExXvYsfgycLp+zCdFyylp2r3n5xhXTW9bqwhAXuCgXsY+i5R1
wV803pvhzfyWYtim0un4PPT5iho23PQxdR9sPCGILY1a8RImRnNgnXiU9ktrIRYYFBAiyIpUtrN6
HDLsgkK62GCnes0vs63QzTCXwLhg4MuF+nBAJWXCwTblZq5799bC2erkFo2Mwiw3E4B43pzRBdOY
oLwg2aDfKsMG3RrM6Kgmcahl0x0drOjnwn6kOaA3hWde8tj+6WAjRYDYJtWXN8W3jk9kYtSmjNyJ
Jw6swr14Lg3VvK/XbdcTLOnTWK94hj118tayoUzbCXbhMJtnpvIN4GpwKbZgkIHxD1t6Juq9OQW/
dFqCuMnIVI2aHhuxiXjJHe4gbpxhpx1r+tQ7JjXba+0NLLY4YK08NNNu7KrpkOY5wrGAbKqQPKky
qV+FFTMyC2jy2FOAdp7yJR6aX7KJmVlG9rQyNAlquUGQFrCKGUmOdyAQCYPaOG19SDKLw4+Y83C+
6AYRHBSZZuPWm9YeUCJXrd6yV2c9mvH9dwxvIdEkaxXA/Qp6ZzfMOb/GZDxLTJuruTCMB4+kLRWk
dOdycRIVgcgGQfHeZxhCn2FlQWlKKLLr8Xirq0h9HpKJNn9FKuXiInMFkR0B6xZGY6Ilip+JSWUG
tJuTmYmgDQHFD+9HT9RPXqUujuy3HZJhXHhOs21soCEsZTu7K++08PJnEr+gTr16AYKfzEM2kggY
d0PT3M/lVG/K7BTPA2k6WXSZsTCP0iLPVvcPADPV3ujhV/bDu9u5L4lCeR85mWQ+ycfScjKMqJ2l
QL/P+zKCNJT047bsePtB1trbpCOjvkaL7JhoreupzeC5m+JVlXdu/Bh23Xg3Rv7PukCi3855v8US
l6GgAx7xpgL6PA6+d+REtrMXE9N16cu3VARIzPvRwqrsWffMjcR9Ho97pwzf4gTPdVWNP+oRMRLi
uT8KP1Y5Je0NyhrCYqnImLETBVGCgleWO21aWXjHlPHepv2DhAwNc0HsXBfuO9+1jlFvb4sCO8Oc
EMdctnazGruBXqKXQmhnsrBysxAPompx9hmUwH2IByuKuhsZ1FxCfjgiF0Bd8htL1xcfYwuWVMCv
c3tkrHSwGM2sWzMa3yfz4oz+9OKX8KR172y73tg0XsvnlBAgJOPyLOmQ0PP53frVOm/n4o1RLb1A
Qj88p7x0CmMmDF5GdokP0jmzp20gY+9DAn+tVnKOaIY5TOyx0yAl1ASjTTeVhIVF+adXfcocweVg
VE1+kbAUOuT9Tf7LD/x47VO7p+1v3vSn0gbc45LiGCjCfg3m6ionIlikcKyDJQTAem6vdV6UHpSy
NnoipkEF06+ZLvLKyuJ94dq7Ggk57tYHOYu7uZDWIS/MJV2ULn6mg7soLA7lDOS61ykbBj9cywLk
HmPSL11trTryHmbte5u+ECQAjBffg5lRdojyO7KwRNi/a2Az9PbfJuDChkw/vI4w+9hBJWF0O0Bt
WF09B51v3t7DgSX5c4wIn/Fp+ZmVSZyZcSz6kKlhQoKD0VxZ5DjPRVO+dtPvqeixuxTe7VQHDVE8
eMrTvn6GFfeitXwrqvCpBNi00ER/QWmVOzCIDTDjl6qQe6kd/2BPIe1YA8VxH68RZq9lc+x6zuDE
LhjTWfnGbuk1Ll2w1ejQ/KXQJ/0cdbc7iXQ7WhoBFDwuTImHiHd5V/iq2GVzCzkzWOAUgKTc9mzP
6qWuq1tJem0Y0f00IfFscSbeOEWEm7MQxdlCFxoH/lfZf4yteOZ6s7cX1J7n9n8Y9RzrWfN5TUay
Qua5OVJz/oGUBn05B00xIuA2vOASlNHZyB6QXYyPcFQoCxtvUyTzoyWSR1ro4cozo24Tu59z8bPq
MbknIWUQAm0+h+NN5FaPMVmPhjKfYa7R9YJWbtJW591IX2vTJRFwALQY+fOxSAd6nGGzirscUAp2
vhUCzSkGpzRY85nrfkXG0C0M3DrK0htE3r9GK3tsPNvc58pmJ+cmF4Ai087NvHvROUTsjjXrcG0L
lpQCSC2SZfSFOi3qw+yhIxglJLC5zvS+pgWMcxY6a2il6ZrZBLpFCAQZ87BJ1dY69O16Y5tEwCXE
KntDUDPfTnmpTQrJyE+fa1U+2C70z8a6HzPq8Ya/2W1suXcgowWNQ7MfNqFRid9zjSIiYt6H97c/
6YqJuJfEe9nSf4/YcmODAsSdWtsqbt9kGd3plM9+GSL3pYhpYv5onTs7s2Qt7ODOATwI3h27Ehcm
NFhDBZND0MxK3RW6fhF5hCHINbCsRADJ2N8sUqAvEvUmexm8QJzZ9wO0tIpovcBcYkID4zEOgYTr
evL3RtCQsyJVtabnTEbg8pKyFnrEFrRhhR1PY/0pWgTM2eK4K7y70qBXqBU1cd82t36PG1/3BCqL
hJxzjNFb2xJ3BWRzDEzWuTbcZ+XZF7PxP0PmyRJh/9pTrBKOAleRZZ8ppOYNg66frkMcmxnj1AuA
eEYWgpuCehfLHUjc4tDj441sGH0V7EHleOWOvRnCbme4ZXGcIyrHyPI3ftLdqsKmFEQiaeg//ZRA
tEGaHgnrJWjogUxECMTjZ9UpYqCmQ2A7yT4YyWbIimhNwkcC4AQU78pGz7bKRvUJ+uIGSNhnCbvB
7tkilqqMNmV/7Bf/ZmAwyQlY/oRlnyVzYqv8M6p2AqtKzYEYdpO0RzvqqLhzDwOWKj/dkOly5k33
BtYXOgDu1moxycauXTN/8faent0VoQHIQEVCrAog6aZPHLrW2J6SNGFunaTr2MSFHhLtgPrHxpyb
LZyzHAWG7WbJNpuzfdfF3X7QCD5BYzxgsX8u7MRfA4XbthkWgaL6sr3+S7AXcXJS4kyQt9P7oFtz
1aaSk358V73/lDBvGozsVqSY/Bu1CNzLIMQs8S6p4M0ReVOhJRCc0HhT7XzAyXJnKFmsnaZ+4htT
NgEo2rZ+9ma247bKwK8gsdIb06fI68os3nUd4ryy+5mosTgi2jlZkyGQpwUFW11q6OjGyyS4ihAu
Xiui2569HMaHCmaiKjdVjOYhTcFjm3ZMwGIHBobV3RjYXKIcSvmUjAVeRUnKRDVAwCPktdQ9sMW5
+mFGjGYgQmxjK4VrH2NnVVArl385eqSEaY8mxT0uqmzXuT/pIPJx1cStTIQL9RQkU0+qohm/lQZp
oYFRnpVf+yt4RqqCaIiKEMSf5nSgLOhXncKqBFif0395IbNKvPo3QzXzYkgPkyJDcFeELU7QKmXT
rVkCbG9lBOLdmVHdhBkG07GsTsFo1otw/o+Ks6cq2VWx+jLoBdQaRTC2/BAuoXsPVKuEdtv5jCJn
ONE4kajtX9JSYvMPnwMA/vAm/B8FReTabkIIJmX4YMBCtXVIjgnbIgLI1F0NPg/3CoqHx2AghSVF
vj2VlBtjQbBJisC4yNqQIQWWZUc5wao7mGIoMWbBzU/sz8RKMC8JtGeOxPjZZoK9PNcJBIcacz6v
WziiCcpKfHxtGGLVcMh7EDU78orIEl2TDTT3RJI5qS3XoxtHIEaCbYUfFqNn9SsQ/MFGnDwCaCah
c0CGDJX8HCND2k9hTPtEcEFKX8A4vqjBIgEuqG+q0fgcx5ZrbPeeYCVOKnnAzXRpyOfJpgtryNAb
Ty4ylSW44McU3REnstV5xyx3CHjYeBB9SPhBSMNuXEI47HeS1onfm7Np/ENpERv1I5p7IEGuxgdR
z/aaUTlRfD5iLQMmdHBuGIxPNi8gVf6ztgocvNisfC6UXPVInvZ475rIVhsI7JcZN+UqYSeg6iwh
yQdMyRj+oa4abotgeqw7cgxVFmanHDVYDei5b9pDG5Q3wqGaV+WgkR3Nzxjfn5hU3XW+Y25iL/6C
WbX30JaiJXEfXVW/OLHzkLZr2+1fSte5axkC9jhgNDWF1OrsyOypszlbBqr+OBePeQMqVuJAykM8
nJE8B7jqm3mdFykXBhX+DNndGH1Cq0qfXYhtSdx9Wc3IrsWEN2Dnx77sD4HR3ZnLuWaXX3VTvJaS
vcTMHNwdus+5NKxVauF3Yld+3/VttR2QBjSFeA6tJ8NzQOmQLNl2EwGCuOESA5kSnx69UTmGwajR
nxneHjlL2FYWBrjG+NAGTFXZGpozg2DOBSWUIOjo2+gN/PQRFpxkE43WvRuSe4Q9Xur9EUCycaTQ
K7Oij9gO7kN2nIv7xyucP4aRP5XL32yM3bNHUH3es5D78D5wnItVyzu1lin2O6FQkxb+hZgqS8fj
DsPQb4tkNUSs5W1lXnREFJKdVsQhwWArGj/cNTDvd+BK0MMY3g51ybjTDY0z+vvsQJRe5KHoPNop
oYWY+jPc1DPGObRR1rQVSUcUddYZx8gInhL2CnZtcpVOX4zQmsnWBDqSYGRp6nBJAJv6o25mxAsg
XaCPmXdRUa1BoyHQcMqN22G38pNprSFMS0XJ7CMVW+kc50HYdy1EX+tnORFrDAgVYWFVnCDYxYdE
ZHTTzfYceiRHU2LTwpzHzxy/6mogzxSRRUFHkr25l/sNLQIEIS102O52dOqXbGehqGHjbQniKhx4
vlQ0xmB6JDGp2zoLgA0Z8y9VaWOLNZ3J6lBAFmcrsfOJX0sSqADBnL22KUYqo32sQ4WRMI/VkwaI
ojX4+BZF0dJ9OtRl+V52+TMeq3IXT+Vvh1p3bTwoL75YFTKQqWggv3aDvvHj5ncXR6RqJI61Lydi
IeETyktIkU+tNX/oPCDJO1XOrTPzQaj96T6fnfkcwEA2cpFeqioDZQi5SExcQ1hB886/i+OMLQZq
+ZVE2b7HqpRslR2N63C2pkNzULnubpO5o5dmEf3RSyjbHXLcEUBfnyFkV3/sGIt80JFJoSYaldAS
Ce0k9QKm1sCfiS4lnGg3B7ODfLMEXNgTWOkouCtggFb5kN5PRhCyA9E/xhhpX2kR10V3HNovGC7W
OB8sMM+rxgXwviRAe0O10WmgN7nvPgUihygd2ZBU0lPVFdOZKpnla+ph8MnmV5Lr3xVtGYww7klW
6l4V+DqGeah2VWi6ewlYbRum8hfqKxyEfvhS+PYt8r5fmt7PuYY8iLLdbnd6JPi2xfodom1hubfT
ld+06QUX19oTmlWwbD/g9oSrQeh+zcYRy66ff6UTIQKhTVdK+OwInJDQFqNSD61hOZdl6O/Qvt5l
KQEA/CmHTqvqcSQbAGmSfUyGerw1jfgFWHKCpE1/dGld3zTI31Z+hKXW0W6+kR1oHMM07+JxOk56
aVY6JGRYK7sT7dYUMVoVoI8rO0VZM032XVKDfCgEAFfXkvrQy5pyPw7gncEqSlNnepzKO2OIy3Vq
Vv1DUphbsxFHLhNIL81jXDjusWj+NJGBYzYIf491Wu3TcmaYgc8qsYwbiMrJWfpvNjMRwrIp8aVR
z5e+dZ9HYZd3QXVb2OQxqp46PN+bJuOEPMoQtZSMmjCI43EbGs7Qu9pX3SlUJGAzOL2hNdvubL/H
I2HWv2U/PUZT+ggy4tLN3hvgI6Sx/VtmaHdfj7yjkj0oNEqYWMlX3eXOQyXIwKZOOGHtHoDPQ5p3
SCdJgLqwpde4S8EW9SXmVpRjxtw/OmV0T+to3LMUrlwsBk9w/cOdO/s/wqCI16Isx4d2TL6SrDh0
7JGwWnKJH7PyZUxiGl6cklCPPmBa+/tlWrhJRu1uEzN4S7zyh4Wl7C7UoBzQH696e4reopAdB/Di
h3nED8WubmAIhpMqTJLXiinBLppeozk7dxFN1LmSP3vLxsocb9BeGdR2E3nwvWtfqCB6n9owKhDQ
JkX9kGLxZA9EeIMFR0P4WBmHEXsKfUzlpsa68kdnFYftCdByvCUnIIaXEl/0OB1cN/K3PlCgdVLO
JFbL0N9YORqqzN1VXY0sV423o5g5J+tb92TgUlylYQ20AdfsSkh5U10yxhKPLZFKgaQF7i27yZiQ
oTmqHCjP0ocs1X45Br9njIatHFKSfU3ngkeWrHB//szRzGW9Hx/ssDzjqH/DTu4jAqG/AnGqNAgD
rO02Pji9d++OU8lwCeqIsFKPQR4ZdCTOQZ6BeYikbEariwZ5gqwS/glLK99KZnZW70z067LbcM4/
2VzFe7T+sPyCD10BYBFVKWglAgGIsG7K5kuNA6ToJMGLQr4G56Ajb12wMbnt3GBPf8wyNnjZRKIn
p96dH/TvkU7xJYIcmwz/tc6HjzIe45uMafcmSJl2ijLb2bxaQ0684lRUNHc6c6BfXt5lbJu3dRui
CvXMjY1oaLC76Vi55JUCjF7x5ukf0n3P4vk2yR21Y/zWnywX+yOXEpEV9U4Gk8Dn63qHKGcsbYOQ
QQM/Hru5KjaqKp96I3mp+vEQOBOZe7SPN0PFIpDTnkmJA4CvjB4SbY+zy8Ilw14X2eZnSav6NR4c
nt322wah8jbp8+g2N6vx3HUODE0Q2/HocaUf6y2BEzf5Qg3E6dSCpK6tjUjGR/St3jH7gbt53qYA
MrwR0TTmBL3rTDKMXcsQDxOiU28KnjPltETONWJTm8isDEK9hDCZ3JjJJ2XDvOn8pFwLaT9kddhu
0DTaq8SiAqlANq5SmT9mBmjH0AUqASthAf0hSUdi/jvC9g4oxXjsVCd5XWR0LzM1boF00GxMESYq
9O6OdzcnhDAWs3x0c64GQTLfOmwIWbT79eBIeXKk+CxGCnWtUd6GQkSvWXfX9H9CavOHWRTBbWuA
pl0U+TOihylDONuLno/bA3K/J3uAm9mFtOXGyG7vetP6lU8TcTSZcdf2qCup+Ik/5PI8qC6+1FV2
AGm5MZ2ReLclRzJCED4WFnrubN8IeUNuAe3t4CuLP0YJSdjkbKqc2iZ1DKBt6UAzpwbsrdHZk+ED
6duH6OenuUSc7G5jB2xKVxLe5DhgDHzT2vWv6Vz9KZqeErlThIfaPwO3LH7bXn5y820/NUR+x5JQ
Qbvfy9mq943B8lI16jzn1gaEX7ybXcmmKKT0HqcVr5TPCRCuchQ0a2M2vc1QYtJsEoN0iPGxDFl+
Oh2uIle3ZOmhk4BT+UtOkPO6geBM5GeXzGhpw09Btkum4caF1bZLoSj1fQbqho0D4w3dbKbIOKqq
H85WNu/73s1uev3WwLY/mtRGUCzJ9fAIcM5y3P55Tl8PkCPRnY7fnceBQKB6hGAkJ+OdljH+pXx+
IGlq2gzj/ItqwwCC86EIOlt3sDvDDjc/3j/8sQoGqNDOHv8GF7/Jyh/spb7xOvQcbZNsqzGVtx7t
cuwtbLAHW92RbQFeZej2tbMVmXdgtvaZNl25RZ+b4rg2aImx/bBCCD+BL06ydY6wGJg2eCkxpoV6
TNr5Hj/4cAcflNACyduZ1vMvxpUX5L3p1yzNI3s8LmbRdoJOtaHAaR+nKSY8qd1Urit/pS0igN7P
iMkpo1vX6bn2geFiy2ht08zembSKLlw1VszaujuCS3j7LE7prL40CT9TsFa0JCzTJHCxvPTlvYhp
nciEhDxV+wuYsjowdWdoLOhqEwhDaDtnrmEVP4O0uHPLHDqvgInYpTdKW9mTxBiYaHVzPRhGmt+4
MmRnMYhNXPFZID8JmbeFFJmAQpK96BBc8ymbks18kouEyZEPeZYIEKEImZGV954Az0J5PNv3gVmz
ajJXRDXAJIJAlXOn3beoIy1OxVBxYzIN3TR/zRXvNZwgxqRY/SLSR4ReJp0W8yr4ZeI5w5Ex3TWM
CE+BT8E1BX7GytySwx6Uxbn3wN0n9Q+7nyQyf+J66dRhXjkZLU0v3xX72vWIohjg2icjUegKUKot
M32fCZANuoOIVOo7z1flPmsx9gX2kmUzHSnivnQxM7ekjzn2/bC1A6YHHsxkYMJuua0skhjjiQKF
oMGVY41ndCnzPijyPSDX9DYy/EdwEnStZ6LtuAbSuOscml9otA+VJjqLDKJWlCC0KvJhek8cgzas
b68HUxKeCNhkcO3k6CyZsKUdm/sKMgM70cZBF5Y2rzEVlTcNRM9C+1jXeA36wg9ve7O1gUD14iZe
7BE2LVcbcu+6gC6w8uWM59QObuycrUBRNPdAkJZi+VR61E66YwIyRQe/KMTOQk8wRfMZfONLVLvu
jYgTxP0ttick7R/YjIFrqAqcih9NgIoxrIgxfS0ZbE4qM7f1IG60ZmEqq/povKQO2o3KyIcdfefx
kLRc3IUdcpJhp9wrSzN5q1B7ayrviHBGxtDD/GirjnjT2b6J+kwCwJ0//VXQC+elsilrK2NtFhVe
eK/Pb9LOBwTO+2NnwT7x8vzkJPI+Yo/QCL/eBnZer41aGQdXV3/sLPkta9Pf1WAOt5VsHAIUJrLK
c3KoSX+q9jOfplK4v1QeILQB2rcqkJ+ZhiTMEClKEcmjn3kAmhK6S11wwX0YPaUMHlPAJpTFrIzq
GRr6eIv4S0BxEm50xySEHV3hk9FIPYDvdRnDAqqNijUXEpqFZGeWktzhNid+S/Cmt+wW4LQyUEsa
ntJH/k5ob9fN0X3PgIz23dT+F3tnshy3km3Zf6k5ngFwB9wxqEn0DYM9KUoTGHUpoe97fP1bCGXm
02Vm3Vs1LzNZGDsFQUQA7uecvdc29k2FPDDHwMAqdlsP+DPCrjkHsw1ajiWhMzHR1SE9lLJFtU67
O8WCvTcmlQI4GjlSyLM2qdGMARlWsz0wmOzu6uKRKK5550WRPJjQzDbGlH919bOwGA2ZfXJTwFtZ
+TndDfrqHo4hkWffstSm2qYH5LXTIyW/f2xjpjGWh8Ch9u11CfLxUWnCDGNi3dwerEM8cM5s5zQU
Hq14xhHUyNAUEnO6m0PM0nH6UDQ5ldIYnkLkfHtPCjrcA7Hl40TR66L304j/SUFYp7E5bay0/eom
2jiYhFL6XWTcVQ4YXd/hvjtntM1MQlpJhwqfexfYki7nBzk25HgLHxVmAdGkc0hMzmbvnHWRf1ha
3mMZ4/Ro5Yc3UdunXn7oh8La57LGn55Opzi3XhMrxhm5OFS95eH6kVzMgK1LjBgEsh6slM/A1Bob
0pWQsFwfrmoMpAk9gG1zZAgdojGqRQyh0kaldKLiYOATFWxYQ+op1GF5Wy04C2g4y7eu378+NGMV
7FpDv3DojHyvdmAP3uzOt5r7qxv2+qWAdjTOteEQL9I2/Okv4YIHlenMkIp7xgINbEn9cLdz4W24
KS9kUB7QFCIAiR2TOkxQ8S0smCsa5vrwCodnOulFfZYb8bOqO5hZvQuzd/mS52F4/f9a6v8rLTX2
QygN/xLuLikl/0gMWWJQ/vf/gssWNdF7jrr3VyjJNUjk1//6p5ha/xfYBtvjUvkV/YHO959hIvK/
TOTM/EM3bf1SWv9TTi3+C8WvTYatJmrEwx3yLzm1zRN6SNaIH7E91Nbe/yMR4pPOGMGZkLaQlqPQ
Zytq9D/rjKOpHrqC9/oxdzCrRWHj7XU9PVczDR8c3fSNXGObh9ztpxp+3EhusQ0aFKP3xgxpl4SJ
vZsUq47nAsBEkbLPq8vYds5D7WcvXKhs2gZrUyDGYn7bLoQ3rUkfqQRbqPCYWcxyJDtH2t4n166/
prLKdsRN9GsI3IRL1wxb6y/6riEgaq/qBnhX1rLVfUvdaN7lsegRHlrHuEfgNDroHwxf3cze0OGy
o2YvM+4AFTxM3ZmEoxcewm8Oosreq1R2B1fWz3XVtGwT+VuJJQZZJmlcScvGRucABaJFauVG96MF
uHLs0FylLNBbhbWShRGIbgayEybqe5nxBHU54ZCdsh3CigJOfTWeLU04XXEqPT3c1VODn7gwQY4L
/Mg9NwZ3RA/zNbTqcuMpI1jL2CXEkQHRLlnwNBCq3PVgiWATUBt50q13mUUvJKeDvGL7Mx86lNw6
UPhRtfw2JY44/PaO/g9SdOvf3yBSIkEHXQLLyKaB9ec3SDzpui/6siTczXs2W4vg0uUh1Q0DOhcs
WDB1CCzS7s7sOCgJ8XyO1D9O5l8fCyaC33NveK8CVSEoVkooKsoyP2nibcOi6Q+E8TgYNdVymX8F
NCTJxjO6+8DOXgwv/xHJ9O/OwCdmyvJrFSI/BYbFwRchPp2BGRzZ3IRueoSuSM8EFzlv7KWWCRfk
QmvXe5LWok2M5pN0MQzzRjPke1JPoHEh4Kc/+/rX52GB0nw+EUp6yoTiwv3DNPFo/B4AFJt2M2R5
kx5lyIlAPyzXjQedaBraPWliYmV0SOVdWthbIiTPhETPaFCRycUzimQByx3V7Y9+LL21687W3ivS
/fWpXB+ZtLBtJA/x018ftFgO6rfUoutpdLCAaGlp6Sr96dULuALw4MYctFfPu6iZDm2skcz3BhKv
2LWY+zrRRgzVV9ein1QFXIeRz8CNFKSCVt9H5U452p6WbYNRPLgUygiNX1JfbEFXs30HYUBzd51W
8fe2KJFG2E1yggDTsLRO36Fi39JC4UTY0cdogDTxHRI6nNB+ZOfablEvPf/NX7y8MT79xWSn8Jcy
mfAkYVJ/fplGovoQcZikFbXkKxns/+oqonYZXkI92zfC01svRzBj2jI+oWMyyQWzfEgvbkQbiuq9
FBSwfZ/R36PdZNYOBY2A5El2jT16zz2zOcrrW/I90OqU3AS8EllrnvrvXmnRkOqq5ASHw9zlTvde
FeN8qA3GAwVgjMonuT2QiKn8v7teWJw+/dmOaWqlpKk8HtWn6yW1GoXGViCnr73nwutIMCYMtfbT
70TZdPvqZw5QNLctYzuyryZXwUH0uVVNwCa4QVKMAKJlQLjOaAze/s1L8p+OzbIcGweR1jA2PtmH
6spLRVsj9a+mg1kn6jSnxVvBlGRTNe4zmT9EcBgOUY7czYkzcqhG0XQEVDwi7Uh+6LcGVcGq7Oxv
Da5XOU/JFmLzA29LgLF9RTZii8nVmuufjjT1KrefZ286OflZa+e+Cqz6YNiDuS0QlW3ofN83SEk2
RhAhPCyzE5KWb5H03ctf/9nWv9/CHFQTluVZruspWtJ/fifS4x2iwC3j4+xCvKGjci+b2QON2hJT
NUPKrcRG5u1+aKkwfD6ZJ4RMVhU+xpnMDqT+xau/OaRP64oEpmmS9GqZbGUcTMGfDgmEC1yS0IuO
oU8EMAz8OzN05b7O8mOOd+sYtjo5BL15tj3tbFpV30aK7kKTWX93JMtl+Ntlej0Sx2KWILUyQZd+
er/GjF2N2uAybclTdeRHE+IlW3wtuygehjXpEzTIw+A003ykgNyQH1weABWRajZA0BateiFPl04F
WpydYzvbAs7pX58tsbwv/+0YQYB5Lisfd5PlbP4W+UYqITL9YuRW0ji3Xmt54HISekbFq2Hr5hui
vTkws7MivelQht9VPxObNtjmrRNlt2woP0ACRitdAt/14qfRQqwCuKePdXZvk5O58SMm2IUn862e
MyAZtvHSLanwxWQ3hHSx29PA8Q1V/u3Z/7QsLGff8jRruuWSqGd+viL7yUqiCmvW0ZSQFSpoDFCu
p3OkdbBpGxJgRItUz2aW0MINR3FGposvJhq4TUFjUYHBzA8qiY2/uWacT7uN5cBsVlnXFZo63dSf
3qA9RXMx+2TNDTGJ9y19ySYuYtb66ZkYWmCBOG7XUTI/al9YywkMGUxFsKARFEKEYhMasLAx0yV9
Ej2uQ0RRUQp1lPZkHea02c308V01pHcmo5Sd6nHYwfaxVhp1P/j87lksbZpujo33Iisp+/uGAXb7
MSaS3KfZ6tagyeG32eignOyhAzm8mwoaVgjJaMPZQLe9YqhvQt1+kFo8n5Ouu83thIZ7z+vYJofK
Kdt38i8uo33iVKN8D9ODlzL79wJvbyQzwssCTcKVXOVzIA9//bZW/+EmgPKK8khRIXnmZxwd21V/
AHVtHCTbj8NA5EhakcI3z/zhaee494KcVd8D16z9Pkd2rdMd9sJy51qIdK3A3jPuFkTpjJBiQGE5
YcawnmiyqS/KY13kPwohqx2amC9+6jUHrmeSzz3Q0DbbTGycQ3TUraR5lPgebaryjhAI+bX0nzH9
Idu3b6CJprt69t7iIHQZE9mApnPYeVMvitPcSLYdpEykAHvZOy33h/E80A1jQvVzaFS7cQZnYZng
dnJN9FMD2guba/k9bOi6EAuB54F6QZAHFDRecGgTCv7IoLET+DVjxKo9WBoUcwlrajOgf3UChkw5
yXIccbuqasD7RhGf5Dwye3e8X6U/SaD/p7DJf7vvaGAXAgQh0bYw7j6tl6aXg9pLOUtQLUlwy5u7
hIxDmqsdfWLyrWKnxQ9PD6TSzHKhYD67KT12pYuH0LHonCubeUeRrkUimxXTi3b712+h6935z3dG
bbKOs9+wNY+fi4LIIFvWNxp6uMteuBr6p8wPCM8xWdsRHK0GLjM0L3hvfNznJCSlYG2Lb1PENlmB
NFoVaNDlrBj/zxRgf3N09As+3be1qZS2KR0cXNCLzfr3+/akG6eRI0JVXdtyHzFSXwcdYtJYJTvf
LoM1qr7pbMh2OudZJBiZHbI5tkHKLIteyNT6rw9I/KroP50wgVIGcDylFIf2aVea1iVGL2IpDqNI
7Y0jmuSReGL6g/pIPq3xxrd2iMLzG9I6w31W/vBSu3wXxVcaiCZNclH/0dFXNIwwOwzED5xl8YPt
THf21ZCji3fTXRiJe9j443YIK73D2MZ1TfIScjOEfz2d7g4mQR+2254QgPtaRZRUXNVHXspLPDYf
RVnEF2AP5aFpiUmzmWk3AUZaxZnchUGg17PXiz3k0+91HIY3o4M6JClqMvFidsGO58KYUvcdO4xT
6HGcPfO0Ruo/TLhfAM5kXZ6kGL1DlQfnLuWpUAI3OwdN5io2g0fPnfWRsfeA4GPRqPlZdCpjfyD3
fR73Yd/85OVuiNTusSxO+kPUgKrTtOaPyhioLTK3HEvSwRQm5HXtnIsgsjYqlPGzrb9yssOLyIdH
35T+Tg0oLoM2gbRAAc0ipy1E/1h+/TQYiARJd6QyyKOX15uI2DR7o+2yPrOgfoMHOz+IESmSoiXh
zAB3siF0iD6ic4HmJNpbRfpVWcZ4jqCxr4YlQYCyKQe9LL9m9LzZ64Hp8NSmREl3wZIynjNUrquK
1ZcYIZcViyyglRf64b6offdttpkL2vs67Kdjm9k/cX7bj10av6t5GugDTcZe42Bm1rGsIa7eMyKX
mzdugreZZXgXhMXHZmj923SZ0sMvgr45DrySuoeREtvoJqCD16EPC1t5A7Z80rIlTdH70s4wJkgS
rGzUZVQ39r61uarnvIPwKUERCtJUiaFQr4HFWHYq89tmGJH6uAJ5rsk4FlHBV90CGoqDvDgtWPqN
O+g/QokwDjdkcsOmfzGYpkhO6aU/UzaTYsRIhP8JfscyYLT4sEjWYV60R7cePgaAN/vAcC3EISVe
ZPy/mwYFJM2Li3QauJ8K6eGIb9+bhhc5Y/RgUxVs3Lnb9JXVrhqq5m2PYRJpg3uWHnGS0dBgWGzU
3pb1xYzTEFEKtBI7TnZAoI2NZbUJYhuGchJo4MGN5IMt+iVKcmSf2jELmgu8V/GIRi31s4AwjOp+
7pZf4aoblRbmg1lZ57CnbGwZmF033XXu4y7rSBGySNLVLmbHJLf2lDj2sSA6BeiItQ0MxEhl7bBH
VB3h4EqM4PQTjO4y/eJbOdPBBq100nvRfZoyRZ0bli+hXwvGXw+1RWRglxAZ4Bdmf/GsyXol/owh
iv1iG8H4ai9DL9mgabLZMCFiDkGc9YG9K9xmn/iBf4P0g3pMo/kUkO2S8anPJ/fCHqiMMx/RrDNj
GJB3BNYFFzP7ozcx/czSdzZj4jFIXg46arw7Eh/0wnAmeR7RzdqlSt4lYiYsMwyqjRdiPiqxyogw
uLWnP1yEABMKkEvSz8ZKxkW2riXjPCPOnRsT3z7FoBXso7l/lnjlQtwqN/2IYQnQCaEgJnq5hnkJ
HtWb3hovvju0Wxvk4IMxdhtr+cOxqQ17q9f1Vsbd+KrLNkHuN78kln3D/pEcwiyv77TNwSWMir6E
hLYjPfDQq3nWZdYVQxyzB5YYOftsmMXrEpcB1D3sz72gymU1jELSnbisdmXj5DeuIFpSRYn8ktuB
uxEizs8TWe7rwmjMrxVpy6sYb1GDIHJP6c550vQnLCZWUcIgz7LsZbSi/ygG0TOjk9jX4xaVoKse
azgUT66BX6SeYvtsOfE3GBxMNLlc2UreTirastGg9K/mN1lz66mAbmG0ozXh/8h6ugZUjR92UTW7
yhHdUTRGf4chllOYeQ99QiKIVkhLKbOpcHLwe95obfJJ4inND44Kn7NhrO9MQGgbiRuNehzPVDJc
lH/HS5kerQFjrYe1m4iN8oirA3Gu0Ytb2iRvFhuZzGmb0xBG4SXL0zMwgP2cVg9OyDVY1ILht+eM
3Oubfl3HTXNKB5SUEYjAenjPC/naouO+JDEwQ7L0qh3ylVOUxGiknen2+qxjgzvRjLS/Tcah3uL8
CHfS+ibHmnvV4ICmS03cokSN9blZXuYG+fMVSYK9C54klCzbO+Es4C2OP2WliQHG83Ce47h+wMdU
rHQD8sPyLfzh/VOdufEuDQRJr14Nls6KUbMVLnLE2roLaYerTndrphTpaZjh9kaiJsHaK8xDgHkA
v8mwNYaU7beLzyV10zMoIzzZNF39AiJil1fTZSjqF5Ag7KFF/5Z2721G84aKhVRIndyOIcqquOYF
jmCqDJnjYkhM6x33C8w8aYx/JI/vitq5yV03vhnCrGa7NjBUFYzyscSwqrEIVlkhnkJGytI6Gx7e
ULOqj7FRbIc80zdND+1EqIOsFinfnB7h+r/NnrJuQmUWxHucTLWQ/DK2gLgDCdbyipYysmsPXg5G
Uz97IdWDN4E2NRqyhSKWW9N0Hcw0mmjwdlTbvoRIJ7KuPpvuonkkG8wPbQsuZikO2JaApyXKQlmt
X/CAIvwM84snQ+DQNLm6uOywCmL0SPzpPA+kMRvkdZgEj1CFOy51TLcu3GC8I0/Zw4WFq79Hw08E
UjIbj6msQ4KGmaGQoVRtUkKRStUnp7pxkMWOM1a+eD5KUDZ7xQxnxTQl3OmsQO1iDuURJcOrjoZv
g/FlzFxylyKcNN20rrTvPCXLwIP7+JGrQK8ij52hU/sv5bCumUXnSh0apB9rO5DWjZ1ttY6eoo42
I5dcw6Ib4U9Gss1YZ4Y7We7dpH2Hw3gaWYnHKbsz6H+vqPxoO+FxhWu/mzRemRG0w9S4r8Ewgwht
CFhB7PGgKmLhMwT8bmsYWEQAc0xjsOva8lYoYnBr9k672pLrWDpPbKmR5bnDTYdjM8A6vZv6GWpq
l36ftn7efS/Jkl+jcMHoJr4GCh/R6KcHLZPnmtbIihCtt27Ao9OzDBwHFBarnrhNtsQLH2Uiocvw
2bbZUMZN8tWBTO6TCLSEOccVt7fcW40J2dxMBUjmsc0IJerWHDGt9CZhgl8GNP+spwm+tZSlGSjW
8zC/2ZhHt0lAcpEURY+hmOSjUWXtdqimj3IQ0AxSgI+yfI2HmtD5sUF4bsQ7Q7OdwFOwg4tDJp35
NQKXUSW4yNK6QQPqcH9HqwGitliH9gircTTIlDTeZLsgRaZ3ans0HxXxoQ3ldjoeNfTzVZggPcKG
TLSuaF5CCji2FUSHsm3ve6PYBGH53XKx87nAHYm+62nAhJc+p2UXu/tYYItqqjDb1rFHgpQLeIXB
3Uw2UDwad+Qdeoh/1wgZV0plgNVQg6wYesOgzfD/+9ij+haFWJsSrjVb2JDp/K9Yve4EcZUAFyYy
PUcKpy5EHbg0g7zSfidb+FJNRrpukWnWRvqHjaTeC24md6GgTzjmLTNnp9Alt+iPW5br2lyH/nfA
xI+uyp5Ktz4g0H9p6TeA2KTJUXkU6RJRRwLHIgfm7QXc+DzaMis/5XJBPP4HCNBNRlTRPKPObtEU
0Uu0NkTxUZoY3tFdQMTfmiLLHzLtHUJuBRs3wWgbL91As7f7fV2GT2VNRMTkO/WFESCXRDUam2mu
v7E5YsnunQQUuPfiRiZLp5XvAb9ghFoe+oVXr7H9rSPgQAh0+fT6jeuPXD/99XBl8Cmap6v++uHg
91tYAO/Xn3OvULvrD3qMD//xM9fPp8qMlrvQ+frZrx/E8UXK1Wje/Pr0t1+1PPWQ6ADid+j7Bwv8
LkboeF9WGS/Fn5/Zbkt73v7+tFOzsH4Rl1y/eD3O60e//uevX/bbswSe/YRDB7nwldd/PQwTMz8b
+RgP03Is1//+6fh+e8pPP/PpxH0+Nb+eZ3naoMtfvIZm1BRcML4wn23N7Og0TX/HVPjQx6gDBjW+
e2Rbslft9iM2XETq4XwyaoXqtqezj3YWCRx3tGu0GX7efrgXmg1+nA1vWUj4VhK990lOXiVt0KZ0
oCy2u1om5IO24evQji5v9U5vzZbo74goo6019l+CMPcuCrJBZQ4+VpYwZ2kjzzbKEAbmSdmsLNHf
m3MCetk3smPth6dGl/lNwezdVeWNq7PsXnjH0dUJKl9KMAqQcAt13lq5tvmzCb3gMTa/1wOSODsB
O57X5PD4nhx3+jjn7M+NcX6H+PeQjOEWPdnaMsHSugibK7p9G6G5m5JNd0G6PxxTC1pIPZgAyMRD
PS1zCIj2az3etOAYyig1D0U/q3U1EUSGirXbQ5Xah9JFyJnim57GNfxQDLsSKZs27lEiV7RI8k0u
CHwdSsWAXBwCxzAeg21NxbYOCumvKwO7bIUPfdv4BtPNDmW7xGNjPkW0ujf1rP7QfUdynPBQm8Ms
doejy1tnpeyPlD2bLTgbLc40aKgVfJw0WDKELggnxFrZRrQf866+0Jhg39Pj7cyM22ysvDtDH6ts
uNDXeDetfl+Y3SZIkE9lDXVQOBCNoNqXWPj6JvSyXVRz9oQ3fS0t7x7tYLuvY4tObmbs+qHtSFeo
F5Z8DOG3TR5K7AUrFXgK3Ot0L1NuqBKGL7CeXe/Wt0PupJCiBuZY4ovd4+VyezYilUoKjpZ2OgDu
m5qK+k5jWwyqW2X6IBUm4eASw5A2Frra+5kcTwFBbuM8wfhWHpQAuq9ROfprMZkvpNSRAT0b0WEG
AQc3n0mOS8xSkk4ri94D4H3iNOsSM9RUH5c8BBEyyZwwMivirVdZxxo4GR2wMRM8wXW/6Bpuj1Te
AqONyBpmfBAdSiv6ACqT7zKSef0pDvfjtKBHWlffhmioCOCkNo9TbBQq8jGKl/f8ac0lY5qQM1e+
NWKMppH60aQIXAwfH6AddQRBOU536MJ4i3Q+L9FV+gYaahLRjlY04t3gjaWrIH5S44c0G/PIfwrB
aoLKyRbvTeF+63E+EUDyPZ6fUA2mB7zBNPBFc5n0uuyjejsjxkUtPL87kp1kHg13ae4/J4H8YIok
awW4Qi24KuNEVDsHmaX+oVfaAPQBRbMMEJZ7viPQ8HvllsXubezgwunFuY5eGypdW92JGD8UnSPQ
D0ly41vFNqyZCJiOYiGGuruaqvpsywIR9Pxdm7TOcmsrMkQMNX6LHXnVX0CqIAzEN8m6KZ+bJnlY
xgNTN4ys2m60E1HznDTBjeN8x1Xu0zU17usZXUuYAeFQC/EjnXAYmuYInyjo76BpTesUlhcvbWkd
qsr5BhyMm4YE0WA5UMoUMv+1PaBAFmX7BlXl3CoLiaSYP8x4EQ9OT7jp9tHPzg8s+Mnuqe+8BoCw
9ZM34LAexpQ9RCxfLYXojn0+CnaJoN9Q084TNu5yKOO+sHkDIkUJU6LHBQ1+ymRMiZNFe85Os236
nT3G2AbRGQfUaXZT7LgtQrxl+BzYxGTn8Ga5YcBIhxSeRK+eKValTfwDZsx4H8XWBR/Evp9hJEmP
Lqrsj84UPRtAstbMFIONqhC/a0Nm+xr6DCD9ggQ4ZErzJo/tYm1kQm27rH+OaVuIKv6ZGfpBYyYB
rC9HGBdyGz02WVXt0qrhGpnShyzJLpNjm1uGBUJZH60Q9rZp25ssqL54Ex6+ePGodUP2XBLFShwv
hgj4awi0/NYlI6VccCDpThUz+xmBpUTSTLDarWvxa5KpKe5RrAUXw7yNTHziZcN0QgzvPrIJzLpw
raduYnQ9B69xIn/Y1eTvmqX1NM8u4ky2FACN1KNow50ie3PETeNUStw0XAFhbXxv4BeuBvVm1DkF
C7bdS9/CanecV2URhldBEjKrNbZ9Qg/RygaNcW9WERG0Fmr6ZHGDE+5Fkh6zs9Cvu72R69dwoQlW
ZvbVZaNXtVAJbXKZ0bDQLhtG9xlWyMHyoQc0XKHJDL/IBbBdRIWEHDNQz2bMSYt4PJgxePgUwXDU
+e+hxLeTCBJXu7S4RJ3zjezieOe1wOQntacp+tZbbXQmROCHC1sQZ1xI6DBFYuR766aMyQhbAgx1
xDuTwE5IXXZerRDklYfMJh6dekNHE6y4rsl3vTphJkYvjpZ4wza/Io10lUTJdDMs1AtrKKBGVe2j
7dLTqGT63HQ7wzXESnD3pFRF6Z729TGNbetch0uJ1zT2qS3a59KjrteAudZd6aCxd3tzH0l2/CxV
J7MBbBVHE/VgTXpOnKuNYfbpwWmDnz46doQqas9WhNvywGR7biBgBO1i3aSbuFo6VIP0MzglLJxm
OJ3HODsUQX8sCa2UWKm5cbq4TDZ5ghAPGscLKu1kndsEZeMJubflBHKhpykscHEXJt08bt8D5nCI
lQnRlQJ1b4iNbCwOteu1WydDqZ0gtO6XixQgfbrlN+JEgfjlBRH9tmwldXBI4jDjxMYYlizMDnrC
TQE8iBxThw4IzYqaMQwsGEJoq+AHSQIkOdVKb2O7xHahk8cYnf++s8ppg9NpLkT+QV88rYDVIbMg
/4UB7RdoZl86iScSjTWbI6s6G4sRPAe7P5N1XSHSdzCh3OF+wkBjqDMX0YdTYFMkSEScJqItsAPa
t8aQhbiLwToTt/0WWNFOnwIsXAeqHRp1Tfkta8ZxaxflklEa31bKPdbEoBCV4Q27RgHWcyux0/Gh
Lfv4tKFwwwSdmdAHcFVPYeYdJnN6HP096jlj25B+7cZ1TzmDbzP6hrUNQ9M2KidOj9WVK3yKj1nr
9ZtadCVoe/laeQN+2+a1ChlnE4TwBde0vTPmu076gE/s9mKGbElk1l6Q8J3NQNxjcuIMDArgWHjn
cvkTAezexk5P1KFT+UAP6Xc2zRe/c0fubAqfsMTXNrI0VtRjvEdwK7TjvHUaRGvKyvuTFdwUY/vM
nCBea8PLMGnHj7N139aE4EoLxVMFEHclJ3+DM7NYdZhcZ6O+QR8ot/3Ys+Xy8Eo7bnXrm2V4IWLo
sbN6ep8F/Ugm75Zxh8vgKVsibq5WHFq3NKXzyA22cUk35dcXu57xeo04yFYFgyXQnavMMEqW2FK8
BDYzqi4wjFXTxDYTGWxj7Vzkm04WwF9Bw8QHN1TbYgmZuj6ogHgNGbJ1ilvMJMuD68/FJlTQ6pzO
JCFxecDIclKzKQ4AqiC+dvDNCmybMLns00DEEREkJGG1QxOdB/eFxBjmBEY6f0WdS6pOpw7Wkp5T
jjUKNFHc+As1+PpgLDjh60csV4RY0BBaX78GK8gZq/iU2HF9anG+n6LlIzwuDFGtIWj3BZgq2UzV
KaAtdSKlk7/wfz4XXabwscGYxcspurPTxVjPy1bQ+QE0TvABYKMrMVwMGGBWrQ6+2EnqI4ffTnGJ
pWH5nbkIG773r18f0X1rwGvAUSTjlJZ1nK28fIalNRtPcokhar4yaEZBv3z/+kMjkR/b0Yb2Nguf
G3TbGMB/kgWKkztrt6T+CJRZblOL6Blw0QRSSroRdT+BXgwdzD1Rvs4rUhxggnXr3OyJcMjZVvAO
wBhgLg9Jk+HuvIVNXZwyCeZgNYOciUo/OnqkLOxpBx1+fXOp33khGRSO32ctoCvGcIFPhOUEV5hs
vWPY/TAu9ef1IWap2Iy0rVb2Eu80RRDmM5hYqH1vYzdDg1oSqckuDjhRAAx2XB4wGSKZYVzeHuoY
z3M72SeIA6TkGNr+CiK1PeooOaDlhjmQBO+VWxlbkfP+bdts102Ywq4P9LM3VqfYKg8ENk3A7Oho
wPS6fvP6Ubp8WuuSSUrrYYHqGHqGBvhPsfTWVD++NmnJKKeCSrV0cOyQ4I/upXDFRCsN0lEyfeUO
iBV1hQAKEU2f4ntWNnIBQI1wLX4GBV+e++Eh1efEN18B6zDN9Hu6vObrTF27QrJ6b4/ii2Vbr05P
Wk4LvQMK3KMf9btpHkEg2d2RPfGPImDf/C1wujcoYw6qPp6aCJ47ZQwPKDBfGzhtyHVeRpcdCAE7
WIX53VbVbozqu5LyHfHlw1i7FJulOa7RLB0znZ8NmvxrPdAyt21MwVANeipKrl8JLaXP2DJyVyqg
f0w3mJ8p6pYv/c9DQz+KoUMXHvOpXV2/nqqq2hsxNfvyvU8/GqXLm+/6lNdvm12rtvUov3z6ud5b
EsquX7z+3Nw4GlqYvBRJxlQozyCJTSJdM2r4iXfnIlPULpUXvcH1iTY13aasXMCg7ABWKvPaU1+b
G22cs9jX55o4pa2bwmiBg7FmLvhgNPrOh32CyALGS0U82BDwgmQA6aLef5RimYQ5xi5ICAMQGEAd
wbcazWijjwCujW2pnrjkLPNnh53wroSZlI/D1inqi8XN48bFtTwQOaMTwpi9Pn4EWkEE6sTmJi+S
+ATX+Dw2ZJ07wKHX9dK7C1Ky6oyy/V4h89wXSD4xYZEWW9j4r6pnyn7Fnq7aOw58Lac1dzYa5U1G
4PHW7awnK65G7PoBm26ftVizx5hYrvfCvRU1DM2wau5HuKpVYwIM9+1j7YTQtTRgxViPh5CSha0i
iusQkfmeTiS1fmv9VPDRTwlspyZhkhSL+I10CFo0ct4q1vxp+GJauj/B13m3orTdEeX5R5Pqi3Kb
B0xJ924bfEgnN8+gszdBAMIp7F+GxN6bSeNgfMOPabL5nZp96+j+SDn7ktWkHM8Fgzormz6KRr9W
tgh21TIIaAp1y9XxEnkhegMraFeZ0Dvdhthqhzfu9vyJxVEKm1oiDJ8BQt8rB5ET8/45heiUJVxn
7VDu+oKE+lDN3R7J1w/jgzprIC7RfbbcAFBhBK4e78QzjpP25MhpXsO4DkFpqp9lMYDhmDHuNcjW
anFijpl5BrrgGpRFMj9JipXMsYmwyr4IV/6hckinC6R7zVxt2i5a6JZp7Kg4HuFHi5YKym3HEKnD
uruP6uyeVi+7XIpzEW4Hwz50TXeTj3OxcwywUIbs19KM7gmo+KZEeD8E/X2MGIBUvw6KJcFx4G9x
bnsVretk4xjmFrc4lea2StzzVOK4FwyvEpQkNhlaNJDG58BiCEwq9YchZtKCKuOcV7i8dHcZs/Gr
xL26CsVwD+v+oXbpVbTOozn0X8K0f8vDEPPzeIjp2Tvxf5N2njuOI9uWfiKeoQk64OL8ECmXktKb
qvxDVJqi9zbi6eejuufinLozdwYYoLuA6s5MKSkyYsfea32rwZ8ny3fPRX8GGWZjaTwWYq7PdVX9
4tMnA0rEDwDEPqm1FPDy5GjK/MxCrzNX+nL6+jw68/diiO+RkTwL9K+lQNDW2wAB0/FeVWWHV7Jf
Q1LNs1vKj7L3fmP7pCC2Mc10Ok+ncW/1X2hgPibDeTefYU9ltHdYKFVbf0rd4eon34uX0zwD7BdA
krhNSutnrtZWgMnMop9epW8unIkyxAJezCM60KEAh4bA/Sf3ZbrNdGJUKbhvZay/Dp6ThBk6Yfrw
+q5dfw56EcDCBsZWueQny+ueDA/XQ880kdZJGdgR0D60OqsM0KXWg8anVyazW/wChanOlmsxpOeN
5z2gE2AEz1k7NPtKVYz621MyDj+HQq8Y/b+lXp7jwSYq2iBTkxgaKGXgvPKu2QyafZcsVrs3KpM2
aEuPAg25Uc1+OBvLrTXhDkVgkMkx309de3YWBhscru+S2GRXBxWNbUi0Lx1NXie2z4Okd+Wua5Zp
w7yPkqOeCJB9XkxrTXzOOjIcM2tD6RlJaMYjta8+Pnt99jj38wbQprE0K8WVxL5Ko/WLk4fVihsQ
UBjtv7I9aB2xkRCx0Akfs7l/GC3tV+R7j1xhshcW9vbpXsYsPWWz1SRsWnDk2jjcgTW/qWP7QBga
BwZzW5fzKw0my9V/I36uRp8JgZs/1rV8mgb11sxww3yjuAHicgbxOG40Pp7JRv9o0MAy0k+EIXlh
PVg5FhV38D8MW++DdAIkm8zWrk91FDX2FDRV2u8rq0bl2iMl+RWjpdv4U/SuZn3aEoJYFjyViXZv
A8UhvhVBDfPK0fqgNXFSNhYlETWf4BTfBH2drOkdThnfzYgMrXMiZleuDWC/f01S54WpBU20kQ4y
2MVv0mzZMw3vAR7Cfmx/RnqEV9jVb/VSu2QG7miy7BayMz0mhQjiwObZiqKhetU6dtvabz7XyK6J
2m/FEbe7yYuMXU9jP5A+x1PR/2CYJII585oDVgVsXtOErs3UqR4WeTTN6SsaOL/ko7rvHMhsUVLq
IbIZmuXVb522KJvr9ABbh4cSNYHMWuywybPqP7UU29GYd9wtw3AySEPcMLmnf1Q+lZ2BcaxF1FYn
BBPg/g4y6C4ydtNL6ndvcQUOGgQC+GK6qRtmyR8GQ4ED7ifQvSVg54S1RGgMIhAmlKGG0y1UGtcz
g5yGGpQWqDKtc63os+ouYO4p0W/9VUavN9FN7Nm33uKIp1ZCDslR6tXIKwzUeERSZMwpnC2/Jbqf
tb0Exeszoqg5tarnEs94RcZo3qsxbg8WBzGi9VI4fhZ5g1GDfL12OF8STmMwfu5/58Z8KHxkTySm
sL6aZhO6aBk3qkNaVY3lcJNC/NstXtMC+PefI69onoYsp4Ui+mlPuZlu/REImD3k6amy5UPLPO/s
i8E9O2lr7vCWEPROXt7ZKP0mjA3z4pvFRzy56hzhozguzMRm323P4/qHV6fDdjH4ePHuOTfm6juR
S3GqF1rkeqMqaIAcEPN87SytMQBdMfq71YYpi9I40D+7czLUc9c/vBHok1mGZWv7+9x25U3aW2iC
aOvHzgw8a2QTNQT4ojnv6Y+xldxe/zAkyj3NR2ku1L3H4B6sw7y6EhF9ApPzzyvBalc4yxrTCuZr
QvVrtrU4L2yG+MlHyBf1Autu7PUnatXpycUorasnzyYVtdBt8+SMtUliCNOviRTP58FYyh2uCKrE
LDP3XsYtFw+29mDVL/FYww1Y/+LEhtwZ6wyfwNHNJGwITyaPVyhMFN1536vbRCXsqw7VTKODWvAH
Lo9jVuKcTNV3L4Z0b5mdcy4UziqjSw8OE7rAaXsV6AniHzeybn13QTY3EtHg5NgiCjrBgXBnsYUj
POxNCPybIYMMOk9496WvMVwvB37axGBY1Uz5pU7PZfBvF28/Ww2BaqYemtkAXbhl0p2BCBKTUSPD
m0hZmR1+5h4alnGOJVsc+HrEjKZG5kC+aDjzRo4MCZgIOeqHaLKOmo/FKKGcKDIjO43LxIYFO91v
HwdlJTQCDeh79Mwx0THEUBqcf3sMvYTa3RlR3iGPGUIeM8GSGh20JVPcpK1EMLodWnamtOebLT3e
OVyyfePQiNca+op9P3jhPKG+QDyAiVLckIGq0Y7rqRXdG7Jh76FcHQ0af1RQGswC89XTOXtcDb1j
I9JAj3sIRZz8gOjgz2MD3Qov2xoiloS2dJd4ad1Lki3FXg3dXaPEWfUg1xe3+5lP2pcvZoGWFNhk
vMpbarCufcmFQK/D0TXKT0WF+ZgisNx4CyuMGj+ElLdqqgBMTqCofHA7ZHaS1UQNZ9VsmxWmltTV
tnYXp1uvlPHKdvidR4TQDnTzkDgtt24WndZ/lc3um7ngBFu/fUsQiTHWTLoZgFBkPjcylXferHH6
ZP23YF0tMvkJG+Gx7rXNYsQRQpYchRdZuGyuBAUwOwPmxFItaiAXCKACcA6wYIdxJYTFH0UGV8W3
JK0BWatLln4Wle2TnFTRQHV6+M0dAa6iQoaZRpjQNMe+5FW7ksCwZMc+TbAuv6HxCkDQyiCuwD1m
BdWZkTlvuGSy+yGef7QR5Ucyjocq5sCm5uzsZ6Bgp1IQ9DmulmnYhD4lk2OASolzK6aaGZKDtXCy
zkpSO6Fj7cx2jm4sp+Cp1IvhEZz1IRNfUe4n1OAorhdGq6coS+5He9KOETPpITbI1kgrfEqJceqz
xQtrL0aAVUzltqRHuN7j+na0aA0rP29PcjB2bcWGIRfvmIxNd9QxX2W2YNgzqYfCKO6TtnQOJAHB
JnIJkK3sRgOy796xH77oS/OTRwjen4bW01Odf3TXPOuaTp5p1q8mU6i9Mw4fVZaRXW6nj6iKV7fJ
cpYZbMMx9TgFU1/01fzaEQijnBnVCTOPxaE56xC5kkDCDZyMCYlS7+3UjbQV7XOvYx8QDScqok3Q
JQHpwUqZ3XB/pfTymnsb6OtCvgkBDQ3u80ocR4WUJn6omkngH7dPHmAVG9EyUwn7rUARYdmTh8Nk
wtBdiQ9DGdquyj166EwktunShJE/fFyt8dcrVlYDud7pXYIxKeqxhaqXxj7o4AE3jeeeei5tWHV1
H9aCErEwoHDmVFYozHF/pi7z8I4mhSfIqPHth4lAleBqobia/fR5sE8ON3gQ2cuam2qrg42i/7YR
j9ev6oYOhaaPpxVMAWLvihpkSnoUUEnr86ET2WgPCBFMb+/Ojr/HhkFVkHnErPR16LewUESVXVyd
uUlL9naTk63kI4671H5v8b3gBYZ2d7Vm6rH2EcvymbM+MzOVHJi9nHIjp9jETVPnH8kc6wfDoRnc
K2Ob2+lHJRCxImmBXL967Y1J7OaZAW5VImGKeAIgqHLuVEO1T7Yr+SUoV5QABnBMmsj0NGHjWXi3
mhmbN7LRbS0h6EUMOL0K81zs/ixoxgWcMJ+h0GCHtxoQiG10LCyuOLooItJzY9PjgB0dNLNp8Sza
hZfOsRrTMzmIZrofLSouOOEToyzUklFHjLIfjZvrV7qkzf61pOZ2WwaxiH5mU/QcD5KVjhkS8jVO
uyOBObOv/bYmaNRlCxVnUkxocgzUHdYQdFZwgzV6V9BiWhw6fZbfGw29OHOurI3h8Rp5m4VJghRi
NqH+Z9M5ta1frsF6BHH+tk6oqHUgW7HJOp8wP0bOyLNg32mz4EMy7ceWm0TyrrxeewYN6gdNJn8O
I2cxgkPYrVI+bAHBLZEZhZGGyqzvw/XKMIyEPehR3PULJLcFhQcNzr2LuNAqCy8cjeTjup+odg2u
qo4yu59M+xNAG4pan2+5tu/I5ORAmHws1JJLNf1IFJ+dUWugheoKOzQiFKAuK7X9ThhWtXeapTxl
PhihDgNBPw7Lrkw45Hom5bxXzNqLkwzLzWyIQ6vrt6p3+kvXjsOlZuYOQrk4unm1HNca2Cnm9h48
NQcHKX6O8SzuJ8pIfTE7DH/FVrPM6T4f1gmPCpm1VSFp5dmhGp2fhPgWp+sf2jS+J4kWkyzd2Fvy
BM5aPOoEs0vk1QaHkBMQv7dkJqEc2Yh5kYueHiKFE5x19JFh+7RXpv7Y2IOzYy2xT9YYnRCjUA/B
v2k44h9ar333C8MM2t54SMDAhoPUtrPDJrneVPpKdEhG8UMjKSLMhvX60V67sSXONEFYnaAJym95
XnxiLQafTHtOs8vgbhA46cfBO7ht4e9p8pMYiL4PWKEeFrPeHWEGgrhfZbfGOFmBYUJHGPn0KAzI
YKRMmNeTmtmZ8bZnADPUjP54EGPo7OmPbEIJmru4GagfH+ycIJAlxlKmwg53T082+moB4l6atdua
SgaJA0VT4eRPYrArZDjfOOy80CHkmd1wwe+Fdoj31sig7gBVzs7r0HgdxyDKpRh1T9W3rx2VcdAu
rEHXhYj2Cvgn3/JBQLMdR4Vm87B/qGo9jY4uZ/8UfnjL0+8yl2B2T3HbbtoFpBzKiGPpMvWnszaB
eb0rdZAlcyTbgw4lYo2ECSdToOiAA8irsRqP/fRmaBiuI8oyAjfpf3M8JGIpGIruBtcLatuJTfV6
nRznhzajTRPGGs2IY+j6hiHok3FEtaXP8YuiEAwpXdnrYaAYkI5Shui7hFsAYYrxDUFvCXkmQ60W
uLFGxBLeHFG0LjQycdXRUeBZTeE7gWjN6BmwYJkGS02O3GcYppGqh6FDQvCT5x5JISSar0luOjf5
WM3/Q198lBV3E0JaxN6GBtl5tZ1701NsDK+S2wqPEiSVv29BvWPoneH5Bg78bJBiyYqVw/IOKqDf
7S2B2uyP3jE1kh+46PuwmjGiQYWgLOGL6sHdy9Lm6Bt1UKhz/VvHwE63zAv1jiU/ui0V4d69M19o
XcvABQdDosawsWNEJugD+hVnzxXA6mKUj5zjb7UYg6ALUOy6kk/9bkIUgWaflbyXHPhyvlx0lHwY
RGhVmtmH38vLtaWOjYRgek7xyCRqWnCZDDXhnN21T8nSrnZRs1Iu8vK+ccdLyiKz0coPQhpbbMT8
No1ebhXI6laoQxn1SWjTPicLiM/xrzVxnG80I593/px9kDcD8NHCLENkUWpO1qnIEFDYs0+KKU+7
J+84kyS3LVOoTUnf9m2akha3SB3vChdYb4nnUJ+9tZ0xfqc0dA4t4e33Xq1/L8tT7NfmO40KFM+V
UudUONnBtlQXxJjVQ40GVa3DNq3b+pja5nixlulYThz+fFJjL7CIYfgrdNY1sUE+URa4eSGkVMg3
0fZzOzcgDzatS4BKPBchiXVQ1bXqw64MAB4Fz+N6h3TG+Dn48sU0qwtMgdu5BgcSdWuaFfuu3okj
vW8OOaPBWI8+87zePbbeskhRJerrSrD4Odssi4pFpByPFE+ciL13BTrMLfA5OyJ/W9dDnhNUBy7B
NOlH4kbPdd4+VEr8GGTyVRTOIZkrVrUMLBtdDSISaOFDDn5qKa+tmQ6hla6d/YJyV6wPUbvwQn1N
Y0/ZqxWybO7iBqg5ih9yLyg78N2SUytpvumsyH4BUr1wD9cNO+Jsq5snTHNENhE0GmYMPMbsNJ3M
zvtodO+YCx93oHkEGY09a2g+o97jnuXm0kf7efGYk5NrhZ+58ku5ISkdoCFmFlWx+RKARxnLIIXN
L/twMFNvYuUf1mfXzHq1K3k7i+Y9LwPLXadn+UbTBuiH1IrjWk4sFsmwLW5lr76LGh4GvcIt3dPq
tmNxW6PD21zfeTfh0s4cCSpbexonoTGOx/5GFdEo/9ZcvcFSsRHAFe43g88il+C1Wlxo9tz+VxDV
9XGJwVNikLhoaKfpLfL5xpgQxpEsI7thWQLcu8Ww8eqs/5nnYdlMnQX4kl2lxl8bloA/asMPpBS3
YAq5CsLtWMAgLKdCVfv1v+sSqRWlqxcWE1IhJENd1PJJCiamkpSzaCSRntdav7ZngQOPtKljULvX
407j6mZgWjxJY3rBEbV26dl0kopQCc8a0FDRDqk0piUOi20zclN4eJoKp+PDK9nDxrL4MEvrpss9
7GMrJytLq0Ph0lEEQI/AzuHXVn4mt7I82R58qmQ925caYNna/rQbTipRyf6c0IJ2k8bfFxrJj1Q+
rxMQe63jcMfdT+4ZloGrNdeDzc4NtHYKCe+LiOhre47iZUGJ4BLQ4QI/YriDIUObrafWtNMN8jaH
Xbxb2xWEdAA8b9dtk5ujxpOu9lg0tK1qcZ9B7ueee6/55MCw+i89xhoj1R4gvsZI2X2mpgJIJ7q7
IOqEvjeA1YekezyJeXwd1lNW0bmnYSIfJ43Zpj2dcXky32d4u8NCpR+zyUPfCWc/rrhXJ6esbXFx
YEDqDjESfzSWCkmJ8mkZr/fjfOUj1ZPg3f6+rt146Wg0GCjYl/owweenbuQjWyzryWub7NaV4rso
P8CYLT8Yg+oSOqVdIcQv0PTiZD7CuZQ3rdHluJ+FH9pEOwXIGvK7jN4DqMSGJozjrrFkPjPw2nti
nBNUc2KG/IgdRmHkQbjvDJ6go8iK7ewvL/kok9DvckQ4smfErw9pQPMQBjf0UH02ooumWLFMVz57
FpooHn7cGoROea2vDlPf3xu8x1PmImSTdncU6dzuOnnX0/FS6Ja8LHr1K6MDzt3t0OE4+ynGNaga
eBowIwyI4VhN/W43WCN7bEwBhLmhhntfqd3SDvdgjzC1yLx4NCyUNzXLN0YawimFOWaXnhM80ZVl
SKZ0db9wWnxUCDhH9CR/IX3+x78xCvp//gd//6yxpaVxMvzx138+1yX//Mf6Pf/5Nf/+Hf+8pJ+c
devfw3/7VfvvekX79X9+0b/9ZF7973e3EgH/7S/bK1fwYfzu5ON3z8n/+i5gLaxf+f/6P/+GCT7L
Bsbgry9GzbTnho7JyL9zBgml+Rfz/3+hE15+pdX3/+Y7/iYTOs4/SDWyhWOZoB0s24dv8jeZ0DX+
QfC4h9PcdUwHTgD8sb/JhML9h7A9UAuur0NHhJLxn2RCAbTQdl1AQ7pBftoKLfxfv/39X/yBvz62
/wN54g94FiweF9YbPwg4jO8Yzh/4lcHNdG1YNAh3cmNv1rrQYKYRonQ2P42b7n18JsIlVGwBR+xF
/3Kh/n4z/5q/bvwBWOPFoTbatmdAJoHNaPzx4nVl1y28DgLGFyjIWDiGE+EB6Nzp62Lux5TuOd/o
8/8/X3Zl5fwr5Qev8tSlvGz3g4zapASHvQdMFki66v3JBntS/l9e8k/20Z+/6B/sI6zlRKlNvCKi
rFE9GC660W2MjD4Nh+z1v//1EDT8l5fzDOBviHdM3UWQ9ydtsi+0Bt1ie12ZoxvEEXuoLavmjpKs
8lrKYFIdrJWo7vgA/SUnt4tfzoSOuXa5YQSJ4QVhRqZFEHrJgw0qyWR2bkkAUF1pw7CwcGv2+gix
VX+L3MnY1HjKdrLEE0nvkg19s/DBQ7V1K5qjq8XGKoc94UIkirUwnLL5LqJbQqWAGsYhhyVVfRZi
w6tC52qKm0gWot841PpR1OYj8dsCh88CGl5iO1EcP6DL3xKzm9xEqAMB177lPpu/li4vlsc5ESDw
0+IW0dNlTE0OK016mGelbyNXB/NI78mgjXZwul+9XLjzLNZvLNh1JV9sHRhkNRIrW9irLMgNaKZd
3JkcAdu+IQL4yCzjk0i6WzMirNSvrG/Q/5e0ad/pQ7zMsgn7vr9o9vwmTYC87sCVJYCRJDk6G7nB
XH2m8+70RCsppMKF8wEAteGEBYdOTaJFRjy/LD27V9N073rc8sEgY69SbSclyPmyBqDhgJEIrfrQ
5p8Mx79JnGjh6/NJmFghHZMfZcZ5E3heGRiVeqiNet/Mhdx24xxtuWwHrZU/Ku3GQaMEXlExim5o
IRQ4bVNjpdynWyHqd5e2cpYyCRzld66Wl8TBwBsjGOqWF0msCdl1DdmmiEtzV31joX6Jm6+q7H+N
fVswR1+rq6zXglELZJ6VW3du3iPsj5rr7MyK8aDlTC92U37rc70mlxbh+nNKa3nRpX0n63unpbLO
e8GJklTcxqYBRvXDOP0Rp1gDKAGndaXxJXW9FWYPBp5kIPxaczhqDTPfddBWWLR4yp6r5uEYnx1M
V8heN0cCGXCi1+JbA+CyR2UeCPLKN7kGDIXkYDdLf/drfVj2THwSbTjnloFrzALQYBbdD/qPqLrr
/suvEV9qibsQzEwYWs5Xa8r61gtyjYqYe85UTkCaPar0GqarxxtpBbQlVaky0CdUr3pmXgqMRugD
8yBpec9uXz34RvcIcojixjDOdebjwtNod1k6+s9CS44oKLYIeGm6ttw/bQ4VPSFAlCgsSiSQjkne
dtwyfMPUErjGB+17LDpt9AuGzj0/CxjZwBofcTFmAJsNUwNefQiNZL5Qaz/AEfjr9q3WVJMI+QkZ
KnCqveIB8gnpSXGvNoOAD48rdg3pxJ6uGUibVQ7Kz1ZYUJz8uN43BPw+5+V8K02b5L9ieDdaJw6g
Dmzrmom9cH3wBj4xLJOJrXdBOg5M8bvQcLXLRD9MIzrzWZ1c082OpLnSfLfIps67e5RrEDTG/gLQ
4UWrOrzk5CcSWsHnppO6wbpbrRMGDtY8hkXalvssi7ZpF8Vbe33iaoTdgbunibHzJzwh+J5wxwkz
O0z0Y0azwUeMCBykCU9nHhP8oenfpTE8QYi/JVgwWLEogbH+YWFgCfqRNV503c535pfJ5Rr3dvfu
rlZ31x+x5DkEj/gSTG5MIK2GLGR6jSbSMEcbGXcJ8Y4O9yIC1s81u0NhRy6P6+3k1cCppMliFg8p
4vr0pbBeu9Yku9Uj0ssunQe7xv3o8EAmRODIWtJ4Q1sU6XzydDuguLDkX5cj5ASyX10mSMlHe8w3
Y4FFvoz4pcii1R1eJIvFNwpe0l8knwgw4jpYZoCS0SOEcf43H6pQ5jdxP6zFvn9QlvOYWMxCeWPD
wn+s/PohFSBJpnk/dtWLZhK/TC8Y+wC5auv3L4qkYrd+8835pZ3kS+evjezojgkd/u8UtUycLS/r
jAz1xNOo2i2LKvLwGUdMzftELMsa05XvXWq/tNV2ihsyhToLUBINDJu7kbWMUZf1MIviwdDLh9Jv
f/vKDScM/bG5PsckrW3UwuXqtXwnJpQ0OrPMgGEA/XYExUIrbyLVX0adS1EufDojo5yEy4pE1Q1I
jN80cLi4rAk6OZAUEP8J1kzZf4JOLpeu0Ng1fRRttF+/mZeydmbpczHcAbVpFe25HE8r66fm86vF
HpFliyaPvd8xBpMvEkQ0b5LWAVaFTYntD/KLuv6ChoaCtx2Tm+sND2PuHfcS9nD6tT7pp7xmIA32
0bQm3KwffrIjE2FikueU8YH7BIts9b58cEV/YWt/T6z4R5fjXk9dgSdU5WfwypvRhUTipzSUloRQ
SNPajl3xoQynCbJ1VWMmWm9mI0fb0KkWqCoBJumcbgnGDOp5zh+8uZOHukEpMDQRIkK3f8hkRaPA
h3Xjdc4aKoNLkrw/I+lkYMzlQ1fxUJjLfC/qBHxOf2krW9usavhi3fmSobgwk30QWj2iWU2e2KNP
fIRRmE01B3qEnd780mD33wnbVJs8qwlyWfzfQ1ztS1yLIQqYJjSIB+g9fgUoXLgAbPRYijaTxhN7
46HZRWctX8hGDzJ84ltWWW3fNCVgqDSBOIQfS/anbn5WKJR0N78bTIxohdOq0Fu8H10L4nQ0iWBO
8C+07oTlA/usy8ErGOK+2Oo2P4pN9au31bYhjQHphsEGuJxz/q0HJNwyGshNmMw35FehZ5f7YqKs
ibLxNGfDeMocZDWtvZsYYp+VBgpKjIBVyDcgysj+6bjcym0981KL+T4b6PVrLEFJ09OVV+NxclqQ
crF/p7rlAeUHNusR2XVEVl/OECiY5h4USVExq7H4pZLK43IWTgnAKH+eFN13E2cBI2d4s3VOpI6j
2CtQxhPXoOks2msmkwAGUZOGuahYrM4KKBzzcMzaygp8RskM+B4ga38IQjYCwiLftQG2NaJJroac
Dqkb1HSYmK7N3oaF71GbvGPn07PPTOZIKL1Q4S07FwgT91rchGWHC0QflXfQRHc2VXtnzU516lX+
GmssPhPakC1Z2FtyxhZ70g+eb8CeMhpyq1PEhSBBKcsi7ELGGo3GgOswefOnckmUzKyOPp4NR4rY
TjlMz1inBf28VRdMdMWQ6N6Gf2+kxZ7eiZnGTP/FajefHFIbY4uJ6bBgbvLmEbXgWNMSj37hEV82
f72JtAU3IO2DkHemps7+kr6jekpX2zl+eKuABURGI0AlzNwW+BCMdfEu0/Q3LY7QJwzNwQFkeVDE
TCPFbNYZXYKWcUCMzSF0kyfiWVrpo5W4a0zgFN90hLTifIeMZflRFRo15Q+S3W5P+tKtoJFYpbTH
2HuzluZLmjF9sN0jvJGPyBNgrsiS3EPjMtTyNbk8VFFiNJcU8DQLMEXBEA0omzG7JXGjHwazfiR/
iiqp7T97Hk26RF+o3TDUTsmnwCNLZxI4YFboKyVFhT4Vb5jJIdoykc/t5Uvpk7FdqgKLHFoB+ns5
TwtLbqsRMAdtOP3rjmKhSF0v5XmJLinjgNBfdpHbYcBi9Yjl2ZgbconHiua4MCGa0vJaTxLGJiG5
E9IBDu1Fi+4L+ysu+LB7QlW3GBcuSKOLLbYXYsoxSy21nW6lF7VbK00/8mEqyOlNOYFkCA99uEu+
rZg1ESMcCC+PiBUZIB63cOVdQme2o4GQQDP1l9SCsh2bxOhx+gr8ooV9Mtu/SmIyKbaOuH+n+zKV
LAM2kts42kds4btsnWJY8/CbzFQKtyX/4FSENtWkKde0glq4hHtj0a5smpgdHf03tzGQUYtwNzjQ
u0o3X1dFZDAYzH+vFGajvgVVpQVWQn+YoBQmIwmJ3TrW6rVVD2Ij2ftGO246xIGgw1o88Bnr0WAG
PuEE+OAIwKtt6yxShAIVc4dWHRnclcG49v8XIW4JrP8aObAyGmSKydx8nfKz6Qv3q4zN3xWB0zed
TWkLlpDcUpPP1REEJSxOe0Rqlge9TgOaVudb4UyPbkMP26jdVYqcHGMPkHJhRsNDlxC+5RrzNnEz
Bkvjb7tboq3d9BxsZfZi6UUCKHuej9SotzZ9dLMAQZN6Vr0zzKk99ZQWqGU0vR04bObZlpqSmNmm
x8vejxw2iJNKnBHvgp7vHIl6NnajndUtqBN678eQG3bYCe0pbdxHs5kcThNlvy+sVfQGaxzRClUz
8z3kYhSxsun3UXbwJzu9WHb0FF3QKdmPPZRF1ArYL/DjEcOJYL62abtPfG8G9aWGM4e3qDrytw9X
DUlokNE7+2heYlwWIRoAVptpb4k3pGwDGnT/CSPQcKSyYhC4OBFiphW06pN6xR13phAu99PCc+3P
/h2IfU7ktAyScYa42ncVUxTP2+H5fUbuAHRh+RBdgWmTWfdYxLcZDsljRWc2KpwZmOXysYI6WRR5
zgxEPNs5qji7e8zXuLrc7gNpUwSoh66I/eMw46f2RMdMwlk4xfXDeQEguBVZNx8cbK2wkr3NdabJ
aZPb08cFtMQdFmtb20/zeqcVREsjcd5brYlg2N7NCSfGzvDpRLNa0nBFuErG2A2aP9KzqfVBZsod
H1VSxyEdiEPl6XjUXIA8Pf2GKt9q5DFAXHOBAOjqQFjXqZ6by1BgrPYduTeZObop7KFEKCBWyY7o
Zz10KutnZTTbzgAbNTFjcLXkfc4QEH12uroRVDWbxm5/1QIIar8YSMzETasD3YP5pLwFXFULkCcv
H3TVfudSQpviGvod7v+EMCDWf+5f+oUHp69+6hIyQF0ZR1k3D3Wq/WpwADLL5vBVYu+epAiqyWBP
o8xhIOs/DkA1wzuDgCzu2O5Ln3MYJnCTNmYFBgesNVHiLsm7I8Hbdf042pxko6Fes03zj8yK+41e
iTmQAgk9L/NUCTqH+QoBiLYTJPjQYXZ9jlxcS5WOHP1VW9xqrxw7IbOnvDU9WmApkmXIk8W2rMgF
Q9NP/IvaiWb8JjTrcSqTJ7cie3edWjpFy5E9qRzsRSyqrnaydFsLy0R0TEDrN/idZgjzr95F3tak
H7Uh6hXLmJsHzHXUqYGDWsS8A67ueemshz4VF8vpgDjpMKazhuzCwlqOQvBuCsc7CFucfYUIi0HK
RYvopGR8bFS11n2DyXOH2HIdmJVwqTSxF5xQQjcvd2XRvpAp1QQLKrFoVYViNxJh3JT3zqqFMOgm
bWXD8W6A6RSOFPbwT1gEowahbDvdD9bS0R1a53268+pQJAFu04KyWxMpxehgwNCPWGYY6R8kqhnI
meNvJ3HaMNtf5+tVw+Uy+5gaaR1dw/1cMwbBaHclA8rWiG4KVFUbxNZFSTqtU9duQPf5BeWlv1vP
d6ifuq1s3whzBpHKiIJ41B16EEJkdMmYf9Wbts3t6PI4JrJIzkVG+SOFdlPr5mMx9z/cagC3ITEK
TaW8zd3OZ0GB+GKlzl66udoluBNGw6iCue9lKFOWsBVZm5PRxaw9Z6i0TGTaLJjM0gSzAS3BgyxX
4KlRLwfN6gIEndjXi8Z6GzP3PCKy32E8rvYC7fCpzhcE0My/Lb3RjpOdPeL4LY+1aT9YrWWdKoqg
aF3qc5jFelTvkO/2PHPAJxg+GygN6PxacVwGrYYRw9JR9UhlfSQ9jNK+uTNdHGfWqnnwpURSP3c7
03UFj7N/QXfUHce5OE6meVe0tX1a4D6IuJ3318SaEhpONyU0nLC+YPP4a692Rr8IZo5pWcKpyffZ
sO0+odSNXJ92mp6Es2rfalXuyxHUo4dSD0wMR3hj1VmYjkcl50b3vlVjGemt4Cp8acwCQwidTIAy
d8s8v0XEMW8cU8cTKJObq56rdq3u2M7XdTF7gVneHcmzim4cMsj6ro73uD6HYDLLYtsJWq2t/QbV
2dqaQGk6p/tqyv9J2HksN651WfpVKmqOaHgzqAkBAvRGIkVJE4QsvPd4+v6g6ujovlVR/+AqlHkz
UyQBnLPP3mt9S3hLQSVhqxtx4ybsCqlmITLiA5SZgkl46CgoTbdk8Bgkk4p4LrK83Ihru2ftlUJf
A2dhvZga+l4wh3SYUaCvNRIRlyR2OB27dKr3Orz1kERH9HrsmMNYULEkTkynjU8md/+EVdw1K2lK
mEQugkZVFHQCYyZ36rvGUZf7q+2UyCMiCqluVjH1485JBUapU/Ol+yrtOk1+wT5xjNJ83QRR6CR1
wNHoTa+l4RA4nLhHb6zrbZHBxmgHmo+Y4XhWSDz/m3gnYdy5mkZZDjcOuafEPc/NPe7p+H6TDUJT
MOWV1YJ6TBXh3MeEWY/jIc+lRTQoJxe1FD5Jz42CxHBksfywakxMA7o15ouFtAvedeFXnpkwA0XC
tITiFLVsaOFWA/Gi9AwVDOxaEDRTdEZHqQYNsWioeCtUWd1wBc95EFQOENYsaXZlJd/5yPo+WVXs
5XdQy2skXr7da2K9qowKosIipEiwII8MEm1lESI1BrGaVkh7TuP+A52Pj3GZmcu5cPtTWEXKoNkg
VcL17EOvMgiYWNU6nSALVJ1YBQNdWsSoy78stuatMSe8GjB6Ezn5GoYRPPKUXaPpY26s2KOLctQF
rAohIoJlF43AENgkXK0ElKcwjTSLkezSBJzpjRdDdR5kxqQc9lpIAMV9aIGlBjXjAEg9D/RcS20t
6yAN9fMg0IBuxS3GGzvrs5vwrfno0+fWsFHPGPYUagA+I7ctFbRUgupqfehWBDN1avVRadupTtCq
VhzJG83/1P3I9ZHbUly5lgqLyEKtYkQSE2jdfCijsidSgoHtRJRpKx1gGK8amKtZw/M+8C7Mov5I
ajINwAKj8dWCbtWsi7r/Jv4MFZmUnnRw91oSULjHzbQunkb9oOgTWj15FNatllEiGux5LfbNUm8O
QekzPe6km1ACxTahGcJK4oMUCP7RwmuAYVGrC4nOAARDMVEePqo9tao+THliaNMJVyrUjxIBIQCa
RxyYB+YE10ZisRuEXRkxfp7l+mNMptIeymKjR7y1eiw+aAw+olG5zYJ6GxIIVu1wFJg5rhLFQu5S
go7mjv/ANfmsCvmbWvMbiVDvraYjR0CDbCeAX9KF8iktgZE2bJbJrGFVQMFCH+v1T6ZTRtYh415A
P1V8EXSPlLFGEPEnJpxeMkl6h83Kx6LKBMiw3/1JXoyClZxIS7siZlADVfSfegxG4DiACDznfCVi
J/LUKkbClYErCMbwuKg4JI61QJZGJ0O9ZWvqU6Gr1jNBzXg5OQQityOKFNbi2JhEK5fU3BpjFj2u
dbtvZZzd24lHkvxavyfYvjZXg5kZ6Hbj4QqseYM7+V0m25yD9rmhv7SOVROsnU6kK4B1+ucIFDN6
TbJ+TBpcDFNjPGaNcHu9jxw5o3QKw2JYQ1QMFwXGn2C8jzm5i0FH0Qlk8U+nES5Slr9DXhrQRVB7
SjoxdkMBrHsyjadGY9mPsNavsiDmNXD2myeEPa1hlGDoimepV0x0oXT0Jrym6HwmGPJySeCD31rX
IfPE7Gforc/chEeCXwgyfPU29qwWLR7O3rwJ9cjPi5GypBYBH1qA9IfCiMQLMTVt7MpME+OJnvJy
sG2VjeaTLynxWKWKhJw0u5pLpF0Xs0COYbEjq5TTfkdZYkjGrZeCJ3TDNFD7Abt6ufsrWCoENMAz
+nSP96nJ4xpxtnEZ47w4IE0pr7q47RXxJRvAwDS1qO+0MXrEXRWg9iM0hKh2VyjEcF8wqyMSSr9r
1aBu8OnQFog8IO3+PqN2URkxVVUpb+oseUKXUZ10s9sWyEi9mVRYD4g68agCmiHlFk7jdyOg0obp
P+0p9uq9huVLGDML/QYjGJ/TfDfO7CZNwaYbcCFkX2el4jMzjQKJUU+OnnbPhCjYokYJNsKjgoyC
uWQ71+YOdTt4s6VO/dsLAYmj8pWfUACwG4z6KdDYskEUnYiD52LTVF2n2rFSTOyAGvALoTRuf/LH
egzBNWA5jfyG2ejIGFHk4v0t9CgW8lUz+NdWQ9lWId37u3UhPXHEF1MNmNMSBEgklwIE4zdFmuio
pPSKmXkRkbs7WdKfYJdi/EKGZaDzAjbevy8qNLNHTff3nHNe+VVqrjtyuTqS6CtX5W8XhGvT558F
nwjNtCwUknqR9S53Q0+smLW8xmIJCKyS2WlNWhdVwdGCRcuu4qJwirxgJjbRCEUGpZeMexFukB6P
+ulPARZiX8VUMGPNN3U7It9qJ8fWhzUwJkVytC5Tc9rECRVAbBCfIkq4/wqo3o6v0u9Ie//aqc8K
jUWAAjMNunSN4g4pWYqXkO5wiCJ3bc3synPTMfoGwOTyCcX9MO0kcCNOns8OTHieQSWbqU94kTLn
DRm+7KYFRmMtmiPOXnAlRWFtjuJvJIHDsULL2PXGTmr1bxL0rJ3SBOIKVYDihEY7nv6+Q/IsOdyo
EgP9MXJJJABIS1IjwlXUuSJbRBuQlKgSxrIaqI7tEnEdGbnlHXdmspWSjTFeZYFnNm4zcg/CpiRZ
cgLwb7JaB9JDjvw988p0J/UCTzIZeItlRTpjJURmPvRkkiOODGMSb3z2x00tjBcN7zgNiyw6t2L6
k6rsMqNeQ3CmfNR9OX2tYsWrRctTUvUNRvV4nbWJo2R0CenMuMEcf+eiwZhUNpnaSIRrdf47JimD
cb8CHTB7n4ago5WdUjUaxzx08LVZK0Fv45O1+GmqucfzEVWPnJiXtclhClYXSC+sH/HrxCvnmUQF
qtWc7crAcnC6grw1wQFodBbkSkFIWJWRZxT618AAXpNTntkSMqeGpTwfYoIhiuoyLBsaKkylrEU2
vBjrlBKTohGRty1F02/XkgXVYkBEF3HpOUestAi6Tl55tP6//TI6Cm2+BB2LtN5ChIGZxVwjCpAG
G4H/CKA4vy/J5Qrh6vF8KyoU46PR/FjM5R0B+KdKv7ds0WAyoEeSHvcUyIxWHTWO0BwaGnAqed6J
STHzojjuE2t9lqLqUJIEz4ywb7ZVmZyysgL1JwPC15KG6HIGWJLff4C9y29jRyvWSiB01M0dVnex
HSIUmlSsi3UPRJ21JGso4s5voPrTGDsZybTIm4PJo7pZuuBjf1BLNQSqBylS9e8yxzNcXBpZo+FN
UmvfYeMzKQMndevzX1HnJ6bjO18XYQcboJGD3DxikG73ZSZ9pC2ayBHmvTdwN4K6pJZDdTmvyXav
vUxg+KnmyUFJpl+ZgYjTQa/dyfSWPDXJX3MSxxEBjjSHmPK74ej2ZArsEWdvm6DwPV1rqY5k2Rtj
gZtvnklY1gngkYKe8a6A33QYIgDowaKdkFCnGjRKp3x4LkVi+XSNLZTCBkklsz7TmKsnQwWpXaGv
LKzLINPo1IkvZuqCKU9QEreN+3OiDtKunDNiFRJ5ncNU3kSchwg0N13SFqAdBBLHDitsdn9fCnbx
nSJBkEXiPv/fb2WRG0zCzyvSH1Z1t8qb03/+VeaH/K+/P1u19ay8/v0LkXiLfXmVIlbgZAEQuVUh
OtdcR/rx/LMku0WuEvt3MSg1gLXHWx6Z9TkdyFOV8kDxONlkNkAoCwXKbF0tngBbKaUJjEVpbSTL
TYQ8gDMZnC3YhR9P+lzUWGYtnxwDbpZc/sxb4ye5ToEgbaOWuJBy8s9lM+yT0JovvIdoJ5YYumIN
JW3UrZD8W2dRLkuMvMF6CmSi9yKmx8SzJAhgfjSNdSwTVQNhW8J8n5/3LLGhz8imffhISWod8F1t
c60t3Lgs35IwaekkDG9xJtnZ6PdHEYevN5gwBwmLwCNvKcegVuGGp1xDBZPgWA6dy1w/RyofJfss
Gz0r4hPJwK2s5Ezrj1UBNw/O5qYkZ34jUzJlce5GlrKvIz+hsgYPlxW1KyTFfZQRZsR+BtNEpYJU
Rq5g1j3aAlhPUj5PcKjWktxe9Bp28aATfeg39Z6eFGS+GVtMm/baTljQXKGUqFvC9JBy4wHllwUL
QgszvPiltUiRrqUPq8D4HhnuoPkll3cHxY9OaUUUWLwXs+VJB+CCvXaMnkBHnPrBMFYhncO1RLrW
jin+thKZLuN0c9G4c/QZAifO8NoGoo6kDwxiiBKapJzBdA1DaU7dTAUVNO1JEWUQg7MFKH0kD65h
rEb3QevuqHRiDt4ToUdyuaUBiCNTtDYDeHJOpPDJpp8JLOYDQcUK7+COkBHCzxu0H1HItLnKcb1N
Gr28vMfPqVty5yY5NztqrVWVQiTpmpDRV5kEa7AV8qoTeP6TsvyeQ8Vwy9B8KsuBzkTJFLeaGE3H
iwypD7V4r44a4Ida303kRqAxHX7leCCFAHuDxezOmIvfWNFetGH6IpYGWVGkHjRD2zN7c2gM0YyE
XrN0lh7I8gA8d/mNm1g7qRMppW2dYqcOZ/VZv5hC1F27CO6KHNCwFKXYge6Uk4Xj63A/BmObQ4gS
jAzmKtMtaGGKxqPSG0dg0oOnGSlNMw7km7rNzD3+Y1jCjWDtepAr2woq827QeBvc/tk2sMDRF2LR
cAax5IPe+bM3JrJyjP3SJMel106Fz4Q9Do9Npfon9FBk1cixeDEkP1+TdJlvZqY9KFzQzrc4x58k
+pCOJmn9Ex3YzhkETXhSsIv0AgWcGWTjc6syWq+FNrpVKmG7Ql2Jt86qJmyZRnZHsgPr0CgogIkJ
xsXajlvJ50Cl8oTZeu7XLwPHGCymSf0CSoc7XIvKlwAUoD2KXf7SVgyRSkKTXiQTxzghLsmLWJep
TfsyfkF+n9okgoQvf05QSUqCF39ivtRSpN7HHBFBGlvmnYWJhnxTGnfkVYWN57W+YNZeYzSX6XAj
jzJrFIl/v4zDWT7B3xbXY/TapaQJlQOzdd8SGC1WwoX0eW0b6c1w8gO1P7VtNICVLpVDFzLHXH6/
rQZCmqysZ05laMdGave48jZSp5svbWLe2wFdZD5/QkeMHOij9ESwK60zM3iL5xYTXVgzPg4aw9FH
wI96Ho9uMUBNbjqw+2bPhRDGgtQsLPLMKyc3qmvMy72urquC2WgtStNRpi6hMZIo66TNPoRpPsAA
KS6xHgMLKU/DoBReWiXGZeYVC7F+yIN4Z8VV+pRpLMdMgDN6rxbrWZ+ji+L1+wl2g2SQfTYiJoJq
iVJCxXO+iBxbyCk1DXBhXUehji7A6I+a2jM9GXxzh2gHq0ndPbVBvG/rYvaqZmBaoyUXoFObrh7i
3bhovvyZRb7vmSeTwHbwC3Ow23nnV4aO+SKisqOcYhNo33OxmDcM2Zp1NtXfph/TcMPGuqzaAenj
YH26mvAGUCxlrTEbXc61TElsSK0aizuLCM76Q1WzNehhxdRP9+YAIRZCsBKBgEyXJ1SwZZDqAzgB
77aV9iJ3lQklSdP1Y0yxyaEJFIkydXsJUMMqpwV8Nor4wORrD0gUwJ1vFm5pRhgG03rccPstIWNn
oR8rRKz4HfuI5rkBhCGf4DiqsMFsLQ21TafrnOnH3MFQIa1xQXByiBksqvG90aXqEkwjmCGaYizb
RIsUFR4LBe1o9DLP/fwU0EbATYe2JVdE/9iEQ2greLo7Mgt2SOIAwhE95ocpS0lQ20lXwaIc6Qnw
JmfIgQTLGbMk06k7mqKUnBpypaahUw8pwexrYk/MndoTxNxFYQbdZMIfISznMvnMVBChqqI8hLj8
mdL6HiJk5s7CY1cyLB81SVnMGRnGnJ64elatTRpoNC0LerWYXw+i39AUiCfg09ZwRmgxGizHFvys
HXu/v570MLfxWD2KkfnIJFp4Tboc/MqoDnvQkoonG2cgvIXThAxsulLOdkLYi6z63WFEXoZRCYxh
bBbVgcrsFMx+73bcb4zWEyggYXHjWCehNiKwY7TGXTuqNb37Hr6KCpJ7ajuXk0m60wyhXg8TSrwi
eBNEC9k7LWNv6qrLNC55bPh8Nuyhr7LMMShUzKX5s6mN+mTJuJXVJo3dvDJTj2igam35i0dTD3ad
mbF5lvW1UTgB9xQEMNUHeqg5ITzzODKL9cUDlQ1gKqM/GEbrAvyuIfvp57+DI5/kqs50wQureWOk
oAxTDQVBr3loUvWroNc4nTstXXe8Hxce9VEzkOOmea+vE5FzdCXKKMOF4DRncnloZo4XgjKBqNBV
2jrkDVDt0HIdMnTjfRy/KIGf7pIZzq4o63tLb8FHaO1GjeOLVkx0SdKAIOBK7bb4fTkLtUEq7YOi
k/Zzz3wQhiKN0OX3/r70y3f+bCFL0+qJZnXWaE6mAyar9YYEA4P0D3LOBBuPlav6VbZVxkncR8v/
+PtOzhnz59bCGB5bULpHEw/PtW89TbZnaEjcp7toXqESNa/964Dc/RY41TZypEv+ar73X9aB/FQ1
xGvsCjR+gWk56gvHBfVacSOo6+GK1c3/UDDCDdem8iy0hMJqaavAClTd0FpJb0Hvll68ETepl6/1
L37jXDzr/FVk9BLnjWKVvcj4vE7zmxEDI7IR2WkXUnMIHq7vxiFy56MgusLmpcZAhxOUAv9MNJN1
Y0Qofhpb+RQrtvKcfOqGqxbODPLAG50qcfLv8pbQaKuORnmGBa1fgxdSqpvqsy+PLAgLKoR9hFFm
vpeaNWwWRXY6nK44J48oozOokDkNO8cyvajkxJC6MfQjDymM/FR9FiApNll6NI2bIHzx1hHnuco9
aW2kPfSYhu9qi7CkZRT5AWN1PKnItGq73JVeldyyZ6puFVYBKAzkiqwdVzwk3TZ/iV+Ed6QEtJKw
PawLr9PWyov6mcp7WVwp4N7Dn/ao3K0dhOp002VojzcBw8RVvwcgl8GAX8Xv/UfWr5Rr6JgX3txk
q1+jNzzIooZ7cOteJJdYCqS2RyIVSqBcz+xqSIg8TpzSGrlIf1KNFfTrFBXGKr+TyoSaRLjFwGxw
c/brvnX89jSfm8GBGZMzz2HgQ7tyBW9/iG3Qhc/DBvtL4TLsEeI106092DSuzbTLD9mLdNZu+WCr
+rWTNykK36O6A0DXd0DvXOtZvBo3eXJkbhxhS5IK5eVrt8MbMNMbjm3hkO3NI41jDpK3eJuOyx0Q
cOKYNsGDgV3v5j/1sXoTriMRaK7iZdt5re7vCCfX5LXxZh6wXxHU0E3+aih5P0gSOYkn6Xuk3b8C
XY3N4Qwkvn3HDvFgAc6UbVGupcgbVA8lRsumerK2IeLrxja2U7YSlW18N0W74yQ77gyazDyqTner
3PzEORwtwQQseRe+EGlm6Q5XpGHEUjvNQV7Fu+B5vAtefNK8aGvc6/yiRVtinv3AeUhX+eJvqU0T
AJGPFtrGT73PbJbBhmYJvVU3gAaFEvQNgstrvfdRbD46l7D4p4XTjo5t1W7CJTtuFZ7Gj3RXH41L
6X2Mod0cFK9co8qtHDzPj+QdQ8izcUXjUrwugcUwmddq4hIaGpIk8Rv/QrBBPNFUK0SIJ1G5tBtp
T9NneGcpUz6Z8y2CehTgHt3vFFneSeGDQam5yZ+tTy2x8XfeBZuRCeSiW7s3B+QOG+mzeRcXzptt
rYVjtRU7GxWoZY+2+VptzWcJYtQXUD6n9rpz9rw4epDikhW2SZ7TYSPc6BXFLZeUdpB4A/Ty1bzG
H+ByqrXhadfZWNWPEhTsM+fE+RfYYptusoP4rFytaxhvaYP525kG8olPiMM6GGtz1XwKqtN6lBv5
mjGRvgt3xVl/HVzj3T/U+8DLN+Vv44a+HX9izp66lUWoOtMT/vFVqa46ceUXG+Z0+854Sq9g8iK3
F1bpnb79q6jYWD5VR1tc3U6zwW2NGBlp3fAbiEcQM3HHlrgyvtFxTmSnmKcBaQ0+dFagG56Fir2G
mwZW5QTdBGkeSWQg1Unm2vLJr8qX8EMw8BrZzRcn1nHdToR0rhjGpivC4TbShYgVtCNESO27Q1Rz
sbmZyElYtqZF+7Ayz+UVo7lZQBJitrMXBg+KKwJo5HX6utn5d6IvVajM9ROCyHG+CM8yc8en+I6e
W6AVvEozDwOpdJw2GO/UDTPT1mbV/QpO5rEEeeiI6/YgPI8X6zCfBYaoVAxH6xBoR/9ngDd4IOOQ
DjAT0Rs7ItyK/FW7GRfjLXhmS3gztsq3cGg2PH8xh3oaBhl+NDvc1C/1DjFQhFLUFs/WGjODHb7p
v8EemXjA8HUlE09sQ/BlIgFLkRsY8uAq8hjkWrsmQKdAGhAPs2NZa/O5JvfnVwzWwi5+B0DkP0lb
6Vx1H/Ehe8AZo2tH8NwSpG5zakMmAxdn4OWcU5ayyd9UrIfi4KnbpnKCbTa58a/VkqKxMh1tYMtU
iQOyGfQKlhNoDk8WGcLQbN6ybVNuGCmhqTC4z7fCkREsKuvJURDLMADZzNcw90R5la8DSO52uDaQ
Zl+VaSW77Yt1lESv3GOC1IxV5Y0H3bN4TKSz8Jqs2w2lu3yJfoJjXDjmt9hvddbUC8ALtAudY2Qe
OmGKIPUr37R7ZpwZb7G6w7ebBlvO7XG/BKCui1P+Zr1So0uHSgDDDdzRET7o8yPH9b+1UwIR9pIQ
7+nP6FlW7aclotNDYHysfZYFB57fc9Bf9XE371On8Ro7wADkVUfC9T7zh3ybXjOGRp+0fsKduYfS
oq6bt/ClnNbNF48c9K52r3wKT3y6rkQwjsMHZgxnPoi5soG9RLck3FjWNR5WnbSVGaORVipwlXim
V8pDjHa6uR63WnIAh76RvBmRxmu7aVHumisYqfq3D6ttdAAEinsSg41j/9sC4aP3JdML8vKXBsGg
3d+Ft5lPul8Tek1QEohG5k3rfHqCWpnviZvl7L+qDuFG/VStawc0E2XLZAMU+vK3imBbpAA8xdpG
IKHhTjgk/sUWpg+eLT68PQbFaU2iSlBuhrPWHfTQw40BePeXfFnCpzSAb0dm8toVZLsiPE/UG5Gt
vdTXAZn8J9R6rPw4PS7AtJHUoKw1UCYDaFzzYAL488xNBj6P7AkIDJes3Eq5E4o2AyvkD90+bUFo
r6Z8Jz/x5w2SknAb9GsyIvo9yeSLtjIBXb5ijqSHrpK7UOI5s0f6lUohLu66emxbpzFvHCSF7kjB
Vv7UT60FRXPjU4a+x9lWurJAIX+SoztNwfypOUfnHE/lbqjWwXP3SCoPMiNPDOOaFVE5W1IH3PIL
aG/Ipv+inUcFn4rLqRhlgL4JCmAQO5pzlHOokKJT8GG+y0cWifQnvvbvBr27DfEm78Wh2oa7bt++
qU9l6k1MhNGUPkMGJKKOkBY7nEnUdcp1ZWys9zbzTBRF2b4glSA/k3+CBTAEUHIO5ufiu3xfcDa4
N9E8mJTmP0SIYPfIf/F2ZeoP3rLpFe8iNqxUB4aEdh4Lo03NSCDzuYapsqNNesu9qNs3z0w7/YcA
TPA4/xYH/bl4jU3b35i3gPJrl7/gQbWV1h7x5h1LzSm5WFhHdLviYeUqcbNdK8muUaDY6Z06rs0/
ApJwaY0eR/p6D14n5lDMA2xfO0gnGHTMJyZufvnQ+qtwyZ5xyoygFXnMOHUgFf1E7Dn/sLFVGCP2
0FTpUfp78YFu5bnh1LEDFKExaz+ZGzKi+PgI7Nau2hEdffwyuT416ic3vgClZUfdiuGHPGA7f48q
p/7pDhCReWTYnlDVIch/AdhN1tWGusXJrsCba0dzi13qgvQ5mocSL5hJFWyDizxTOQTvPDPpvi92
JRYY1SMiq3zWZ5LY3cVvm6BgXwMqIToUNZ2k7bSTAYB6T1+dPoUKVhMpvwsQhIln+cz4N3iXWLCo
qGIHY0m+T0wvffEl8nC/34T3cnwXi2tPnN4rXecAnqFLBRV5SBQQUlOekQg+qgQRPXUlYS2U9S2+
fWofcWV9czHYVRPKeA40W6BQx+w23s1o1b8TcVzvAITRZf+etJV2w9DCdFIicOZSM/JzqwdhuwCu
n0gN4tQeNfuQwk8mw8g1yZO+84AWKMddkHLXwENka7J+7oi4PRQfvbkK9uktOJUcoSxqpQ7Bzg+N
gCf1k/kMB1EKVnONTcY6oFiGAIhYfBdd8idetnQR38FV3Whm8GNxR3FGeMPrAw2UWlzcFw4XV9in
7/TuOCikP42/R0CyTNlvwTerMflBKKrak/nAsPsZ/9abmJHetlyrX/7BxKzpc+ajRl4VR+sJLyN9
vfIw7LLGBou4Dr+zmBkW56ENqYY8R/UuXrNHcb905A8s+3X3SuujrWzSnzk0OMFZfRLeMlf8EicX
nCFoYOGSsB4i/OQjbz8I3VC/auD6WMKddrYhHw3bsHdANH/5++YR1PsYMe9WPgiOscuwuYVOBffD
3AIXf7PIPhl5Qvmwf5HQC2DPd/hADLQSjj+6mmdd62t7R8z5MGGE4H9E+MmziiLUnQ4hJOV1/Mvq
J6WODsDnc6LBF6x++tKmRKBsQp/NLt8+umuoHNJv7ZW78yn68D3i4X1njBxrb5wk/IXfzBYQXVjz
C0TsYm0oSOFX6rtwEDcVRvm1BQvFYfXX94xOnJBoAoQ+63jb7EIs8BfpeVlsFpEYZzhjK13K5RBr
MmHw6OcFp+kuvb5WEmN5h7YPQ1s852yM1XuKlt0eXfXEjcNFCq/yPvzB/mo+gQCNfuNb/8UmIDxL
bv6W36bMI9dSv/reuDWeWaN4KIxvpm4H5TDtQAUZb6TMAZmZCdSxx7c2cDroIGSOKlRpdrilIvZ/
UI5zXEd7G/+oHDGojFQIvavwiL1KfGKVD1YjdotjjAfmVpyKD+ToFlF0NsIAQu38p+A55Hla+Y/0
h3u4f6WEniBR2eI1OrMcySw5WM5WjLuaR/PQ3poHy2P4RAzlKrpU7vDg7Koe84PkGvttchXXxmvN
01YhKC1cFk8WS+2N2vrevw8bpjGP8o5AjdRWdKS7nlLanV45sMO7bA4lOsnKaVyRkR/Dvhdrx930
WV8rongDGx4kS8ZwM1+ncW85/cn/GsZH3LhC5mmiV5Auw65vtxvjRFo7R7/F4cMhbsDGuBLflgdo
hOC1L38JRJA3s+pmVAAdeR6bwOMPFp62n07lmVUQzaG1m3ixtVc/abvR4xMQD8q6YSB4x2Mcrogm
piVB5l9BX4iNkuHWaSmf8RJ+5pRl4Xpci99EDyTNmgX8IbCQL8KFVbkxjuVH84qdQubgKV2Fe6TZ
gdb2PEqd6hmIoAcrBR7PaGb39x1o2h4Hamk5DbE3jlHzSCPex9D0vsRhF8w1SYFm6iZB215DDU/2
0d/vJ4iwsqStuFWsZN9IPQFdNfs4nicfVCWGKWVOX4VUaVyj1XjfeiPIO1HL+TYw4fKq9M6qGHdJ
RO2FShmF6NBdEjGuvJTQRycse6zOEw/DsHyJkd3YHZMNPN6zggyuOajSSLk0Fv/ny2jWx04tdS/R
w3Q3kgestioFZVqn1c76sX6KxuoPFpB04PRFQRMWfcI6KwVOKn9f9JmsdCHwGC7QxERgTLJjHVE+
hOYDkWW9CUsKc3SPWBBpPKt4T1Fy0KKdiEbU4puQXAI6FkMZmIgGJKzP9WlQ5W85AS+exwv32rz6
vN9dBMENLVPnFBVnLvKdOtvC3V0F049S+kcI8zIlbNBhHnuNdbnhURHxH3MhOlXeoFfOyHyb2R7H
q9EQYzBjtaAzw+DML1/U5jGpqFeX7yNzhFEYNd9CHN8sUOr12Dy1wpywRqp2MaYfg17SQp0eUyko
XqtCP+11V5qMSzIFm1KQTwoHT9j+T7mkPhvkzq0MmZQAgkOJklEIKfKvPsOd9dCaL2U3a24SoAby
x/k+zPKZy0EBQ9YrfaLy2xTAKRl950B5/jJlwjUtP8TRF5IHWR+afGy2HS4r1pk03RL5xqI1bgZx
Ck+1gOkEM8bk+VXn9WIQ2QsUDGaGcTRTa9z3OUUmqdCuAh2MMdCsepYlf5E7rZDtZ/irCHEGNHgf
/+hj7rRfdagVRCI8dUmXulpKubAkeWFgP8VVyGlYMu1//7f/9Q+Mzr+BqL8UUd42//HvEgig8j/p
Otvv//h3TTVNxEuGplsq7kx+6D+ALvqYynkvmPVmUOEMFBaYgp79QiaGqsmIdckqr1bjXanAlSSM
+v4///j/yndZfrolKaKpMyFS/8HNMUZtbLXCqOF+Db/+qDpiE9A6iOliCItAiXAgul0iXun/+edK
YIf+y9uWZMWwTI3hliovL+z/IeeIDVBXeZRqJi3kfNQ4xWrdi4zhMul44WcRNX1WH7HhHXULPSfj
ZE62hbJVrWH3L17K8h7/eQUkmYANku4sXtE/roCUaOKEPLTe+CJYhLgSwEIIPyEc7I1wDiH/MZ9c
gDDcviPTs/5OgMVMOJ5b9MH0L24H4795LTL8LUUxVU22/vlatMiXZKGImJWDBmZ5YINfsALpVH6E
eNF8wVT/xZVQ/rsbUMbiYWAxEXVV/8eVSJjYzWUpELGe0+4zhuxuKBo6SSqtboa1uXz8htS+lyWJ
51nuNThRq5HSHjkALpN0pxBDgMQ4JlaQAwyYfT4ljb/kJy62WxxXdf1iogEpJ5SpbcblLYk9QVpJ
WzcnLalaR2Z7/Z8v6n93TWVFMbDImgv16h/39RSoJB0kQbMxMzZC8tig5FTDv3h4/m7Sf945isyz
o4nwtwxD/v9v4hGn89Racr3pa+0Gm+baZ8Z+MGh+tzwxJS1YY8ivc9mDY7D4ZjC3Y6wd8X/AORzS
qx5yR6VNeRlIoTAJA8YHbao/VrswS8r3tKqP8wRAo9T/N2lnthu3smbpV2nse54mGRwigD51kbPm
KSXZuiFkS+I8z3z6/qi9q2CnE8qqbqCwUT6ylUkyGMP/r/WtcqvX3q3eBh95lVabr2+W+Qc9izlI
mI5t6koaID7nIfLLy6hsC3C4KTgOKLamvptDKwBx2NJqGVOe6VSF6Q5Y8NkA7Umfy8pyk1XJk2/A
dA1iCCPO8E7o+7uMK4CBMBeED61g6v1bL4XX+/XXPTp3CIvG3cwcM53Pn//ydUWtnNwN+bqMrGVr
QLXBcLWcZuyUkXaPMS312dP/MtgXkaB26SOAoyazSKTenPoux94ewcStWyjqEYYeDAEfYYmhybHa
xTbdE7eMx9VMGxkDakKlWW59m/ep6Wix+7Qx+iB9+/pmHH19hbJNS4fz5jAQD54dfpO/x+CAoGhV
GSZF5i5EJDo+SjCbC1Pki3p+8/BlxQBB5ofTmQ+RpK4042QGbHLY2Id3AqB40oj9l01kvDduTMHV
vyqSAnZPwimbMFfyzvdd4P2AE3GBjZKCadSdz5SlZsZQfX1hRxdGoaTjshqblvxjXkKDygDSq12d
X9gtJXZH4ApEtbYZQM2Q/hKfTYY6SyicR5Bfvv70Y+siI2wmnukA98TBmmANntVaKWvCOHN6NEoT
/cw+7/poa/juY2RnFEj65sQ1H5u1LB1ikgXfB5LdAU4uJi68G5O+2k0DzxLBzYsj85evr+zUZxxc
GfhkE58oAxaR39XkVFtLpicm36NjkpfB4PExKokEOBiTKoLVYja8FKWxET0tgJFZRA0MMDvP7sjT
pvBlhWu7bK/wy9xhaqIZj344SS4Tr7wIq+6q0/GHStMgEy+hS+VSMQjG4CUs/E0zM0mJhBthgY2P
cEiojM7AKN+9L0Lvxwwckx4qja9vnDG/yr/P9kLXbSnAc+oKyf7BmmLZRSs0YEE7H3H6omEZX1iE
kpuIoCCS85q5dfKIu5uWA7gbXyvpmhRsfQso8l9/FXXsm0ByZbNqm4Z7OOmUjqvLsRDlrsw+NJ9m
e2BSv3Ybgz7uSNhl410IgBWBuPj6c//cnaCalAjrXAe2vvy8Q79MvMo3mqmKk5JQl2DlmryTNTd7
mRcdfjQm3Tl/8utPnEf8wT3n+qTtYpy3hXW4O1Z1GE5EFeAOsyD0Riiz2cp+K6ro6f/hcyxTN3jA
zObWfOW/XBm5B5jLKjffSWo3k0fuEiRuMNUn9ppSHLueXz7nYLOlicQhe5PPAUnRaMpaofnmlO8s
tAFZgJFb9BXvkzA/I/BuYN4uvlvRmVtGey6fWkPXdhtNzZorka4FeixDBPomYie0mEiNJnyTWAeL
EhShm+GutADctD41I/Ifsd8XOlkKJvIWSOEoeqH7tEoiqvD8Bx/Wsml6HPMjcWaXtb+Zuk2eBilx
4XToiMHKl8q3EMDnzTrIp5/4zLWzngMlnskeeSS9/KL92UkdeUEckOlcZrh2hvi1d1ccT2m1zSxk
lcjvhotSAuxjgbmpb1b5GTIkY4+P8Vz6wfc+dXSEq9B17MG6g7r9ocPEW8UeHWzXltQwJ8PdVLb9
jeDPaLrl0FxuPSqsuaIB3jnYbaIY8YAcgqdwmvZ+ePP1SDGOLExsKF2byUBHGWYf7paSZNIEx7Sc
PGOAAGbQP3RJdid680FW6gfViG6hj/Eddp5nlUa3tQosIE09Vv/LPLTPx8x6wLz+zTbKtREUj5OW
vBgOWZmmaMh4T8ztNAYUdkoHjr//VHUO8YqB1y4xJW4HgoOqGn+1G99ha6NLZQVPeUfrVAMIKtSP
pO8fbFKvpqZ9MCFD1x3A7yijIZKq66oM1hY2wsbiH0QJcRxDuwp6vJzRXWpal3hJ7syme8Ay51dv
0ZidCWG8jb6x9TTQ3haFDlGZr21mbIuB1mPIbfdI87XCMKHUtIYkjbgCz8Jy/p6m1cer2m0fAsd4
+/x3nXNZ5/Ud6ttV3UGoMJHzNYk6h0q+s2kLtpX+WkfdzhuY0wzrmzCzM3wW50mYXU2Beevb1o0f
w4YIqkdtyq9wu8DcCYLHoI+/VyTIXjYBTB7P1+6brL6yWveNDHOq+bJ6zrEj3sYdUTcZfOOpze85
gzKmZrD9iRFyZKEwFbRUik82qkz3YDLxUqilZjWijgZDlvvVeN5ALl06ijpkWtkbKNpvIQJ2JBkV
chadxx7XA01QT/S7E99lXs4PJlBhuha4CQXLQx0eUaiydF1fpPkOHAjydGKmtXA2qhGGiF6udYyO
vG7Sr7Sifx3c5qeR6w91hbImCKS1zruCbqLU/LO+GU4sYsafpw7BCU13HNOQUDEP5/bKHzstaB0S
jbEMUO8qJFJZGi+Iy/0Lb6i+e+kEndA1k13twtkKtP6sJWflxKI2w5EPbxF8W9YzKckBZMfy+9zf
jDERGmMLXlY+QgRIt/j/Um39yQ3B1LEYomG8yBLEiYLE35mm0cyec6tTyIoTeOi689NOLxLsBJTl
h1t4f9NV7mnInzCWmFa8NBXKWa9qVpOj3You4VrCxoQ4B1vLImrFa50Flo3kxOJ5bKbifET+q25T
2zDNg31YHTdFEuOpgtDaXjemovVevcKgWnRJtS/7bJ+0I9IfMQGLyV+/Hnl/7qCteTU1XJDQrrLt
g31m3BW4m4wIO4qk3YRfaTWM455q3SZ0ysveTO8nDfHQ1x96ZEyxawd37bpsjITuHFxxUed563dt
sstjJJ9oCYu4fp2cFuhHdGN76KQzPHLDaxq5d6io377++M8t4O9vm6ULLts0LMNx7MONmR8mRWYl
Jal3dmPRW+wYHY6J9I5M38m6iRLnrsMcQHvbpietgbboqU6UnbUYdPlctWLfzj8m6P1mrPHyF4Ok
YpK/juO9aK/A+J1HORZ9tzr1tP6cJvjiHDrYtNs2X3+e0n7Z/5Q2dWunTfnimO4DgRt4km8RJnwQ
lCdOB8cGhqDo53Cb2AnZBx8VIBX2ZKPiXRzDNXBxePjuNrXbKxedN5YxTpSNev76wfy5YebyIKYL
IOfzZHO47bIKwJqaJCSF+S5WxWs+GnuQDCu9MB4/b3nspWvLdE+Mxz+3r5bOkVzo82adDz54Ceya
IkbjufFOa9vzMekIsotvQke//PryjGP31NYpdwnyW7itB1MY264hDPndOz+z75yOMzyB3HPBjaUy
/15q4jK2zE2k2xsJW8CqmWUrgdOqHc9CRIFAqoi1EIRWad6pkXVkEuIeGDr7d2nqDifC34fWoJkD
YX7Yfit8QFMYPAh7YA7wLpuwuWi77waBhAsnghFlnBpq9rzSHr6P89Tn2kDCWGkOPpsFhACaoIl3
ygYuYWH0owICa0F3c+b1vD9rYLotMGiCa4BEkpHBzBWgKk7JV5wj3vrOmwiJCq8+gbfSwAgoeamF
gfd4SGOINawERMzz2lMwM8xqhTMOUUjRZhuvzu4TCxP5MBNkPqFjzZy/6eMmwSeWzI62/SfLQCvl
2u6BF33+dYB4CnYS0CdM5JRawcH1/UtT2+efqSxTrs+meHKmpSiXsI9BcoQ/qOuhfBuA+2l5twPE
pZamUb4CeN4U8zHgxICbX9I/bqxUc2nGkMo6HHBTBMM1sJjoxl578SL0coG9dsbztEKNVgJE8ez2
PM8gkWCaesOdsxZFffv1lzj6chE5QPtCmfD/DyaS1CrZPPh5ssPTiaSKy9ZjYy/d5sSh7Ui9kRGs
HM69TOoOtb7fRzBuN5EVZZbsekHTCW2ibEF2ME/XZXfOFmoP8wA9OLiMRtiktZmXlddd9nI69UX+
3KnMFXqDNpGk+Mnd//2LTJGOjRg0686o4V60/Gc1VNvaf43T8Zs9Wzk/821K+3o2wqfyx//8hnMX
LBZ0S+r6YUWO18Dp4oDZbIy9t/l+V+jL0so7MVmbfx6SKYIxM9JnoHxvHr61Qx1nxpQzYzgxLQYF
53+RFAnqLPcuHokucZizItHsws5Ri75hlAMkJ/J03JhEGbGXRmkOkXNSbHnn9l1oqecUZo7pETYw
IA+sDQROp6fhY7MNMRSWQdvhSFlGOpUE4dfFKDvbc41cb60oXrmVSyLnL0f95Kx/9D6ZAtYd2Av5
R+cm4Sa5DtWv3TjcaEYLEjkuXlvKpiAhJcqaJPzRJj8swC+9Bq6qZ0fqlOdhhgDm64Hhzm/A4XTA
g6LJaxmCcJKDdU61JoAnv4x3mIxx6QD6l4AfIFASXhWHaL8wSeVNfRuwm2BLcKdkvdXld1da+xRt
Tf4++FhXwrTb1WyXIhZIUNNkNE78p1MkFvWDfWUr72pszL0cKGYUDAZdFK9WEz8p0TykRf6qBv2y
AFRPFhhepup7Je116ZM8hY3ylVI1JUi1n4zyXkBrIvxqBg+/hznN9kCmYp2bziUe4/tOgIAp3Ooi
aAV4CwJ/CI70XBfgqfOchRxzGfY6itNBB2tpXgYMhwUZprB2Xj7/f9dJCanlLhclFZUg/xHpp1ZV
6+izd6mwMv/h7Tvc2ldePZcUUla2sjrPgC3JuDvvaXKu5hei6nv0QcG4sw1SwAeSwrjTkTL2UZW9
Rn71sw3qs0m39lrILrPpmbDLqnyAxXE7WVXPtlQt4yr4Gf0wFMiRNkCU4Iy3OLx2OSyyeOZMuYmD
Mlpz3joGlyzsetkJdI/zXCxcfqRDwAcvVeDW6XAS5P59U9PPcrUTy8CxDYahWxwjMXir+Rj3+6yY
uO0QhQBEdlpjLIwhu/cH75zUP8MvH/NqfNULtDpecqfy8cQZxzyyBBlMhvOmmWatONzvmwZvtYV9
ezd5xhu4tm/A/p9cI1iXKnuIipfWEDuxG9+d2VhmI9wJvum5e5l74lV2zUNWAtSTBV2/Yq5UbesB
AYXpZRvqPViqVPMQVMnZ1+/qsdmVmpbhsN9nP/bHsbuDtjpUfp7v+ghFm5udlS31nbR/qOLsbCri
c713NyLAoYVKc8z4cuhIFr3ePiQN6gg3wDoT3BDq+TMarG+p1N8mWHCRfDTS8TWu9RNnqqOP1zBo
S9KL4Ux3uPpamorCStb5Djvdden0FaKhJ78pLnQ9vPPZbGXJsB4jfztK+2Su0JGNNZ89V55Nw1bM
1b+PLaa8vqmtkrFFeMqSPHgGmHXJW7O185WtRQ8468+DSX8rEv2NOvUGYts2671r22wfsOYv4kYi
YwY+LfTs6usneeywy5fjOCPYg3FyO5h1U/LXAM7zJKcm/wZubDNO9rfIZrr0A3fB+fRSz6gt+bZ9
7fjq3Br8pxPf4Mi5iiejKyEdDljycBtYuFbYpBnVpXLsHubn0ztq59dAzJtvluoeCLd+ylPncojl
NdG9Cp1HHolvJBW+Na5/RxDltwzIvkZkLZ7iE2/nkeXYEKhqlLBYk/7oznfwLcmALDOU0C3n6vzd
tst9UjOAQr+8k212qhl8bLAIYrZM2zBNjnsHg4WR4eVmPWU7qgObioC4Cp7JAvLqqnCChygY+R+H
E6/z/IwPVl769botBB1oy1TzDPXLwb2Y+qHSPYpXOJafJ3SMA95wt7ny8+xU4ds99rR//ayD8aa0
KI4say6UKfhYdehhMDUgdXHCMcLXcsgBsElkjZbYBnp5PRW5iwlHXshR8dI6Kyzr+5nom1ruxqef
VxXjmZ5bz4DqUzr5pJOAW0qmbTHH5vauflZrxR5LbABCXzQUa6FIXLgXRVvtP8nHSDRT2o+w+Yp3
KzN2xC/vIrsDuxJNZ3VgnJWZu87y7mYM33zTXas6Q0nnnks82JRcTNIDm3zc6qW6KKruWqVAX7Rx
W001+c/lPgbg02pYTTGAJt1V2o1nosWlVrYfUdTsu5pv6WfXQwbBJPWmBzuhU2IqIo1yTNrL0AVh
k5DtW/yQZ8EcPJtbCuaLp38jyuZ7XDuEGLYLbRTjEpC2GladTkiOgEizKfGjfRIuFZeysVBJ4saz
zh00QW7kl5t0QCmtp68F0iwqizU5WM3F5I8JLNSMdcQpSfLJGYHgBbaWIN5TKj885w3GCUqrZRv5
PcLNpodNByiqHyMCItr4vk3ZJAplAQZJ9IRfMVP3kSXCSrCvg8ENtpCFkIxTwV4QwvCNnM2BGAex
zYgFklpxB0YPjw6jfpLZHajzlSjYj7n6cFZnLIU21LgYv3BHdpCK3xX2IDes99KTczLmexfmd36V
3Wl1g5bCQ/NkYWnPf9bSeDYTfItZnD9Fwxksw4XrgLulcfDsAkfyCkzeQIpVsAtsflfsXemEWrWA
A0RgbxrtbB4Sg1PeqdG9kM6IiZQvOc8DQNK36Fu3IoZ76AWXfdh+y11/WGXtuP16ujz6/hiuazA5
CGQrBwdWp6zLZnSYkMzaW1UOMzK5mGNB4gUqIWt01u2kLrjEE/PgsU0K9Q9Or4gp0CodfKwdjDBU
fEKXG9o/hq6uszilnp+dmImOLkc2O0xBx5Y2ojr4HAtxEPB6le36Ue3avsUTBQk+xa1LNSVHTrco
wuBOVeZVSCxOaZzeKRyb8VlUXYd7TBX28OCoirRMi96mo4CHIylRnLbo33vNueR/vkYowKFPLjx/
umfyXwdEa69AIl7qFYBkSfGRXNrLpqluY5NILelceKlJB8sGluwRRNNDzlykRsYrWHs7P8necr+5
bwP/HK74hRo7YAqkTXV2hUMho5rvExTiYyBO+3Y15s5etGDgYqbLdpx7hIm2NCtopcE4O5308VVk
0464ZkTf7tIgMDkNdIT8b2YdI8zpMOCT60VIeXhfFneVzNGwW5gG9GZ6nZ9mDhkM/9cQr2TkPHGU
ilMymosRfFZ0V8FbgtzLTuTFIxT2745dwLwh4OitDD+kUNNFV5JNKlkFETgFqlB16jYrM+pIK6/A
OBoghBPijYn8IIUAgXqTFO8YqQCT6rC5hw4sP8KI3reINGisfTGQYDqi+XeLxgfvoHBoG3Ao6D26
nXNe65gok8pftAMe2y56muIC+kY6i8TxfIYeHzBjBb9+B4+tl47giK7QuzFU53f0l/Uy1Gs7zeIu
g35Ij8l8TJ3kYuz1bWwQV/P/9VGHR7SugDecg3zcBS4kxQy+cEaNHUzism+0E5d1dJfscK5Cl4Ic
jePc79ell2aRl1bFdcW7OiBNz8/WwZBv5n17ZIzfDRLTJ5zs4IZPXOaxXQ9VGkpSbLU4hx3sepwK
WUGWML0MtH0hoKcplpemuXYDdWEUPF/+/PWNPf6JNpX8Odj0j2oDcGrULXAMd1VUYQCr9lBlXg1v
fM6T6r1hDYHqtP76Iz+njsN91qyPpdaJWtk9FP9MdQHVnwSFXTQkwdIi5LBD44jZUhE0qleLqXEe
athMZMH1yYOUe4KwEcSM7BGqfm715XjMmzuNharG7IrPNG3YkYbTVo1IG2wthzpB8oib2hcxojcK
XR6muOnMKVxnORHR7HtFs3Ql71uPK42sAWrbFx0c3RXvykUYwpeieVuTSvxQJRjjGphwqRK7PDUf
B1XeZlo2LjwqsQiaV0ETQBNWWrwyyU+gNtvjOp7d52UNNAkBICFh+ZLTZ7aE4/89klAnbOB4X9/V
o6OWMStoBdGaRoP6+6jtB4+stEClu74s3pORgGMqKd50Br7u2rTWTbuK8DtOpwqZxwYQPCAKmRR0
rT9OBnWnjUFhOukOQvV7NPH41FS/jknzms4ajKEq7uD+7L++2GOrP50nFO/6/J/P3fUvM4+uqhhB
MuTDmCUkB1ezVOi05qW/yu3zSBo3SV7u5/3J1597bMb75XMPz8/RZCVdbuspxuZhK4mqhzNUX/em
8Vzl3d/Zzr9FO//qZlBHKtSkEDuIxDiWMisclMqbXhLoQSjTTmTR/TB0/SpEtu5TjTWrpCHGpfiw
CXOj+zRtRz3Ayy5hZlA3NHjQnle7C7veCf8tyaEfOc5wE/niDlblkHoATkWCyE8z3nwHL1ZtAcvz
7O8RGsm1aSLLG4jdq2EMBhHgHHt6bFqQJlP8wNwIuxfy1CbIztjTYovGbVLj1ia57fnTXOLISCf2
Cduduo5z3EilxnnDAH+94ORFwThnr69le2I2aiwh1J09Y+t3Nhl3TU2aHsGQSKnWmd1/7yarJwSO
Y4/R2FvkXtee40Ny7oFfkmnCEtzAmIiXvglDOBbDnZUE5/O+uazEs2RHPNSMDSIV1n4wPFv+RAxW
s4/y9pq4h2LtxtrFENvrHvxsqAUf2lSNaztozsmYba7tKiAtCvMrCb0nlphjL42aA6hpPPC2Hoo6
k6So0V0W1NULTle5eO7AUTS69WwX9gUN3+eGiLITM715bPAqNBm4IVxaxYfjifOlT24hE4STuNcm
wHtkt565MuplCQk3nNOhjLkFV4dq53gRkYapdz2EUbTzo/ShamlrFiZt35TUDjP6yLziG3p7wq26
aUZLxBeweOEltADVwWatkw4LsGFDg/j6HTziFLDwWKDzMJluqFUevBe+NiZoKhOYR166QT+Fw12n
4j1UxrWVclXkbxHOjqlPG+Gvx1pA2J5SCLPHnAq5jxFRU822a5mFm+yBVD30W1idtqQW4MSF306k
R/LUiY3nCODxBcTLRiOAItHnaGid3NewC3ZfX9RnfelgTWS3bxvzZkpS/plHzC8zmnJGmTamSHYD
EfclRXVQanLf5E63rMxhYyivWOUp6PDUNPYBfAXO8Bn2Xp9skCaLt2HMMQBqpQzkiXnomBAD0Tat
o3mX4P5RmPUHeyq8jsm2kMFlGyavWlLeBTnGaNvCiNyQcVLB8a7tYQ/88SYYmiub1tei8zh5NrX7
1G/SIHtvYh4UlHpkbun7SFqB2/Mr2kxeEFqD2sfSPk7cU/3IDIo2AqkAAjcaO4ddTT3yfIeyUYo+
uyJIKcbv145MG55+TvIzGhHu7jDl4VkfnKse9EAexdOV0mE39MGbPpbmDQ00utsJxCDhzfmcbYnq
zRhf/YnXZUx+kA+ZrfusuYGOCveEZEVVUOPIHN4WO+y0VQRXldxOXrYR6rgtw3smKwCVWe7uklhZ
pO1mnKWkOM9NEnJEQF147nzBTQnOAagB6UsoUHTdzDX13vEp3j/XpQjQGiptrZcFylNN3Es7fM6Q
IS1EaxmLvmCvJDV5Gaufbs8U7ETtm2/rK89mN5N1O4Rsq9J5gVj67nv++eDDfvIje+WL/G5eTzr3
kRjMl3lT2CTiua6qvdG2bya9vo4/d6Fp0P3nFwu92Qfs+fu+O1NFQ4M8uIBa3638sP+48nRxrVgN
fCuKt1QLsaRXJZEpyr0jDpnjI0RAptgO5lfR7KZk5o6O+kuWjz9PjIVjQwFBmtARrXCoPeyqjTQT
kroR6W6I8gQspFiA971P/XrYcp7j/oTqrrM0Qjzn+QufTZwaJ5QlRzYtGAQlOnN7XtEPC7zEXZdl
Om/QVM7j65PiyXFBDHeq5N4gJ92psVxP+EgXIazlU2/xkdmfUgk9Hcq47BAPq+8ZPfa2T8NsF7eE
SBZZtLNyGGYuoPuVKLFX5ZiRLqX9YPMObFIvAB5a77wiJ/c5aOTWzKJrry3NMzHOEYCdAkJILpdu
n3Xt4F1By1wRmLQPJcGh7C227GrYE1bV36vY//5tW1R/mj5/5gXBq37QHPzxP/Z5yv/9n/nf/Nff
+f1f/McVyW15nX80X/6t7Xt+/Zq+14d/6bffzKf/8+1Wr83rb39YZ+hqxrv2vRrv3+s2af7TrDr/
zf/uD//X++dv2Y/F+7//en3jEUAjxvb8s/nrnx/N5lZsd5ISzX/ZYedP+OfH8yX8+6+r12pMXjM6
Qn//vl/+0ftr3fz7L821/wU8exaJ6lSeKa4zRPr3v3+k/sUGHp8MgrVZ/UHZK8urJvj3X0L9izIU
yxJHUuHgZ+PFqvP280fuv9iCU6FysBS4uquLv/7z+m//Xtr+fnD+e/7Pn3/d7hqHBSc1qyBm7x89
EAoKh69HprdRlQbxtCumlpj4bmJxsGp6GTCWRi3FS00BKWaXuixLZdMxJhoriV25kCXcpNF5Uyjs
rTnSUxDW8MutPPblDqcPvpwrXMIGTS7zT3kAwuoAUzcoPq1uz2eNMBFPcBvspr+hjY4+IK2eRov6
cNptjdRFbeiI+tQG7rD4yJeQHO3w1tqsaH9s4BokcF1pB8NubErCs5gpqUn1WGQKborrUchPFqkv
rjEav/8gXplo2I6Nkfasx3zFBIY6RfOH3AUYFjUWuRdhuiz05IXcd0sja0rVfGctkKe0s/MEx/bl
1+3NfDpk1sHuI01G2mE9s21HGXaj2xAt4AJga587NynWTFa7xCPbLRrIZJVpeOEGkb7CqGavoO91
zvQ91LnKRktu2Sx0y897PcXQXvWoQnFAqi6fh18QW4PAbdsZ+n4wg+o8VA7xqt53bpLAW9BcuBkf
Q6b0XaMI1ChI9lwMzLu+3oL7aE2SrUsZ7kKKZItpZ7jVnCremms2liOR7RG73IRpURb3JjKupWcZ
5PBNM2I36tejCx1Z+cnM/S4Jnl/KLL4aoDl7etpjCdEAgpLtUEszAurksTba2ZnVFg++r91qgw+u
MOfvJKnDk8lATsSEGbuhuYsrLj7xpGQHUry4cG6awS5Xbpdu4YTjm5rseGXj4nZAmK+EPd/J+W9X
nLec6BZANXW/qQ0BTvqcYwpAybWFrwiI9kXhirUB1hZQL8wwkXzzMzeEqVgC1PYsYCKm/6H8PDrr
yeNatNIOCNdsX/ze+pZLmiDlPMC9OQ8LR4EO7k10S0Wbvg9z7l18gZrmZ6Jb8UpEMl6Nmq+Qtd3w
z/GeWTbsd7PsAbONbMDCbOkIjpVh9GSRY7sijh0kGagrKxeXbmTGi3oqbkvqQ8DuEihNkbPNFEEx
nmK/Vb8Yc1KhvLEsbVGW9bht+gIuEcg9u4CMGDd+uqgL891xgbw2GsAK/HbAGxAvfb6lWqd/0I5b
1JIP4XXwpT2TzmmWuf1z7UQvdhZcF3MSj4pfKjZ3ohTu0kvVniMoLazAXtK8rRcVPKDR13cjv2Qx
Vv5FD+ghnL1Hg4ieBzt++fxJavCYOkISB9t6wJlSs6kELzVxHq/jCSQm9Iwu6Og1OxpAoL5+tHSI
pGNkPWl+vC4dLyFdnJK0laHGIWKvKbl3bsFrXU7Bh1v4lxSdH7GBLhzNhtPa5iBxJXFfeRVuYqlg
QplUiSH69RqNQ5fJo+L0Sxh1ee0ZDMSsZwtkEGPZWLS9kkyn4wOmrM8NpuVCrj6vwA9hD+bZ+GD1
qCp9xUiNKkBTeod4Z37uU2d99A4y3aq/FFG/76c0WWpGSVGbR5fHVOJqTpwF01Kl1fF9j7zHG1a4
aiHm95T5PeiRmYA6KUVxW9PCW1OHWikipLuQ3zBKkrKtuFy3xO4RM+X6xPgAuHV9wjXjKk9Wdj99
j7qZ8KfPjL+gu5lCOHj1wN/3OQlMJSxp0hG9kv6W0sabbkqe6PnTouvFD4Td2I7HMd74af5YAX9i
5niHUlIQOaRBRu37p2xEqlNotgFXDdCwDpwk8mYBpWD0hgqhPhqnR3z6nK8T/mGajUTsNDiAa8Uj
lWXC/eLO5TrHhZoOyUYHqLJs+vwSNV+9CDuGEo/ZDXxcTPNCU9IbIW7evPG1J5R/P1ubTgRS18uq
7KgxGku3Abah2qfWYGaTEV6oz2dTtIyPXCUv46RzSJdbIpJgtM82i5aXhFQURRI3HxA4nOmMwrjS
DetHlbJEkLVIei/vTjtC+o0GXufopkPMsYzApS+smFf784lgIdI5+xM2OGjv9hDcVwNzxAivT1p8
6yGJ0mW4Q/hL4d7n6jL0wJkJhHFI+O34jrYpzLcg4xnlFBjy4nOY0mVC940nKgce6FarIX+cOJ1Z
4+ywjl8MURLsO38QuxTe6OHcboUJJr8Kt4kePtWyvBGwbQC48dhZG8y13/v3k0mGVjbxanQ1kWTq
NeIMmJf+t88hMvXMZonuf9Q5EJ4k0JHP+RtpdJDowntOXnJB+vyLSip4gUb8YeosQEXN4tFGWMAN
k2iVzkhubJumSwcXr/YBIA3zAxQOXbxqFefqhuRojnm0zgHer/DJ9CstHVeNYf70Mcwt0HfP5r7i
VnigofBC5FwD14lAnR82LWgk67lOZhDE4J19DkxvZPEm2OWDcB59pQF6HQWVvHyqfzShR0EOUTWg
oofPUSQU0wo1sVcRwAWu5Nr1WCV0k8dZzgO8xoZPdT69HE3Sx9tyDoPFpirbiQFbMbYroi6XmpO/
mAmRqYMfb6rO+T7XhpTJpJLOU3ReTas0pTyoA1zMSkjwnz8r0uI89sufGf0cBE/AqWHoQEwq1zJl
Kp5o7H16FbVm/kUd9t8sfHLmTyZUGcNzfJOK7KVgWaXMQEA9YegdQAZAk8iK8kKQpqeYknGoSiZ5
Hjz6VSzR07TwfdadqIxWIGxuDCsrllS43uhWM4iL8rHm3nqSVFu3JYOmtPljY/qozNoXhxyWyppT
k4ZaX4aw7T5XbAOvwKpVwXsU1Bs6Yv0qwcy3tFMBvtx+7Lj6VSfTl899gEbaNv4UlkmeyQIAO/N9
dj1CS196LqdfMTw3JYtKFNONHOv4Iy7a74Xl3qa2trRzfDgEd9KDAggaxR/ZsKeWUC6H0nvRBgbX
6Bbz1vmyy0nsZqllGXS2KRq+RVswkZlTepYBHQvYtazmeyZ0/7ULAcfMWw+NzJ1SG5eJxio06Wyk
kb7+BLIUqnb5z2vBPQ2JV3KZbRZFzc39ewtiEFPYlemMZadIWDMsGgJjx8JRHDBvCkEykyk2QcBr
7vflQ9dMT8qhEG0tgBldizhbh6jnFhZW0aU7ADjjULyznGBV1+jtSVqg2+ppa3pSiOHjq0pcj6X2
xqGEeljCq9J6TbxNpHlRWGpGOA3PfkLASTFPq5hxavY+3J0qL17wXTOJ4iZamtdOjRhPEJHzeS/q
Vo9XRUrAao6NgsCWfuGn7K+EzVeIhnMkG90c9s6/7L0FxZI59pZ3WfP5ZZY7vvkSyZBjMZFSMCZa
CYscMTjau7JQVMftQCR3SX3Dm7e6S33ycakayO18S3vK++TDlSyttmL8kBkOS1Z9cN7Y2IUKVhVL
8JiZ36AAYO+H0Yveqw6ITWGnPG6neR8/WOSXNsn+MxBbEIPLsuHvZlNKbTIra9REQDSS/DNaOyIl
2BYFTKDdGFL8jJEUOJANTXJvFlmd/qzb9t4sqUGVVIVXwuW+RvbzLP7txISx8Hs9z7cYUS5CSWS1
NSDvaPsnKgt0ybsPL+HVQS0GiR5+GK9gsgzM5qZho0e+R/Ah589Pu5j+FNI6ve/XiZPetlXyEkXZ
baERmxIiEPRmgdvnOprfNn6g71xs65YTvyRzEl2Wsw5pVXOeRoEGzkg312lr/V/Czmy5bSXbtl+E
CPTNKwn2pERZkhu+ICzbQo9EnwC+/ozErop9Tu24dR8sSxRFgiSQudZcs7nMhCro9qTvY4NztbMI
W0Am+zBy8VhPv2DETb8jrVyQN7Q0P8sFJ+TJv0Gr4TRS9ZyYyvtaBqXmj0Ji47guxplBPK6qQdZF
POvYXI1Mf4ksPDWH3KDuyVvgNKjZfJTD0L0HLfEJFWPXjVX5b3WZ3qeqe2Q1XY0JvDY9Tcm7VRth
vFBmBDG7c6krk6gu/7XWvp6LqjHS2MMt7VKO1OC14k6yHmBnmBafMHG5uim4iy7/EdDebIyREtLV
o3M6pGQQ5o8kalkv3ZJQAhsDe7wi7bMxt3d/ifZimNn/fDrtLOtAOHM0dqpEXdTyv+Sonxq3wltU
VRs+YzzP+BGNLLBtOx6TznnkJRspPJvXIshfKmJaKAGKh9fZODO2WzT09O7GVpf+25AGb1NlsUb2
7qWfnce6Oy4ajavpDk+lTM8NJTgNRdqHmXMn9v2RdlQ1wlt+U6CEnqriizJ6A/ukGOS1TzK5BvF4
H1XdEJSYVMc4Kfki++QTog1h33PsPNnMvCCkVNwnF1eQD4qA5tp2Lupgiv84dX6a1Z8hZZFYhIss
FXPnQ63lf9Zz33NlekijNCAFhXsUKYaRHoHMA1VMNXSvJY5CXqX2F3Itkyr9ruoFpMNvhU/TPabU
w5abY17Le+PL5ZYi3to40/gh+kfesGGuH/OSvOQDEHGQxQtS/OQeG/4RdslVJqw9zVA9zI5jJcPp
kMK3OzCcQYXU/WIWoWJMWKyzT9UiMYBRC9qrXFjt1vNY7cONbR/1mcMqB8r2vLyP0r9K42VG40Zx
SIk0m8MfSs0Hc5Zh3zH0KJ3is7cglY3jvJtb1efKBIA6xlmOlu+catMXiU8RrKdrrZfpra7zi1bz
QdhEizfuoh01rflhpc57r/s/kyB48gpxL1yuL2EwGy/c4nfleOMBQDbfP+c6S0wzvqWLW7MoyRFr
cU01f3BD2WwEEWuR3C4yNB2yqRewR9MjzDaIUJcFebgWlQoDMDradeFAnLCxVl+bThHvXQBXyjwK
QqNOiZCKvntivg5WTR6URmkBOendZYPcBJ420X+xSS5MR0UpsE+3ra1ozPlQp8Z1qAOc+CPEfo2h
Bccktp6rIvgcIw+PIFmEWe7k++DDFE1/iEaumiGO9tOow+ccqiub9TX2qcS6pTiZii8YtAsXu+Pi
LUpgJ+8M3PqWD0md5543npoxw7XSxQqfudArF6M4O0Fan3uvJkZ+KkQUCvDbjV6VeMZOiyfCzMdk
NUD5if1x1p7lvSoSoe/G0jf2AYo8N63F+e8vNYXnWa8Qn22kSX53HYs0ZGngRgJ57NJzjvjwkbHQ
jO+Weur1ICKTYuXISEqc1xuHCPmC8Ix0ZzLqPxdj+gyY7O71eRjPI4XY2XNIa4gtbwjzZcZaftCa
6rx+0Q2TGFY/Of590193gX8d5NBX/X/dUesS/lA3UzrgCMfZZvrfD7P+9d93/vvBiI6siN7gy3rb
+uP63d+3Besj/33j3/f5f972H4+alhjGjiA1/3p55foiRyfDAO7v51kPr/Ow/O57or3XX6xfyFo+
J9ksQA21toODwtEycLbL//2mBL9FkE6nNQbK0OEFWWRhYRFb2igzWqhu23aM+UBGGXU4O1sV6kZ+
jj33Zaj9Zh8ZZYUTZGceZDEdmr4aznryGHqyhXgv5Tka8KmfumgimKxwzwP2nAzh/d49c9zOeb1x
/UJWdxJaMT7oTmxhgAyQRBeXQ7PrJu8cF5l/Xr9jOfXOqco6n3oD4Ux37+vI3gtCH89aW5tngmrN
czSPL+SbY8Pi0mEyAvmVs//WEQ3HKVbx9tNA9+WVO9co8fcoCEmVenbguuUF6rQipSZJiMD1QAQY
XSTMrdwqzzGurCEWBvZ7obnB72HeZbN1xj+CwALoGtsYf2XDxGLDcUt3R9jqbRS08qfAIV7C16P8
0JgwgyL0RiZOCnsVgtYnT06HZ19C7Cd7NCl+g29x0acUEB1d54hnXT6+1CM0baOrnjS/6LZVGzxF
Oh7G6Xusx2dZQFVjigjFVvpl2BlLdMQPYk8+0i135TXtUjiUnvuri/J7bdnuBnrIgDX9QktTAHeS
yLodnMXfLFH8PKHYsIb4vmhQMTVBfMJgvg5+nl9kkcZsdH61xxnxjznbv/yKNDetIUBjlOVvst3h
Bjb9rwZK6TROu6kpiL926oNI+7uTDU9dbVAFl9MVZjntisvC2zgSUxrbPzEmuFW9DMcOC9fKklMo
h9+FMY9fuq6zdpaNWUNdejs4BRDVOSH8wjuKyChOkyMhUZPe0haWeJ5Kwto4gTwwM+9Ykie96Wt0
iqUat7u4WzNDy8F2cI022+TLVLouRUtuX3Sn9fGogsce2wMxdh3cLOm/Omq+HKDdNBOG5xX6KeYE
pGBgXrddoH5v4VKC+Zbz01hqxtHLZoaRWGo1GLtt7R6yDOF8TYMRhd2NlyDoxZakvfkEJy7saqih
oLekkYwPg8xbEJgxlMGrmQJDoxS7mHI0wG3lte4tH86Aj8N41RxrCw5/6dJk1lH/myOgXzGi4JBb
NcRqEkBGlK9NSpwEkIYPf/1g6wmielTJMWl7HEa2K1PM2eIU2kpgiqd88a7kFEG+oMKH3gwep28z
zOBHvXdOATlv1ojd79DVv2gNj3FtPmy2xkNOJcZ8WN8NUV7TxoAhZi1PRVwscGqyhxdxSXTffxrB
rjmBoKi2OpLoJt2bmJQ77hJ6Uth7p+sRgjrGw3eKmPx6+1mX0b7qNPzTO4OYB0t+dfvkDozw7kb+
YbBYLAjguws3uJWG9xZFQCKtjybLSJ87Tc5vWqd/0LgCqbjZZdDENyMZINR5w73ucB7Ha29b2DVB
JOnon6qgwZcnO6KqI3lpRoQKhPrk9STt5BJtXN9KptjTiU7lA2joI1my22hYF61A3J1WT+6TnWQD
4hHmJIZM2YwZVXbRVSuwcXGRV1YTyfRl/tMY0Kd3XcxpGwHaGE/VBD+3d4GrYlfiJ65D86MuP7aN
922evOLZJPBXoXOVu5DMLJo/ZVBi6ExltJjzNa9AEUpSNCIllsyWqQ2XyL23Vt0eG8SRs5m89XV5
CzLCqOZBYY+B8SzH8TZncjijfiDANm+3AN9cqEW0cTL/5HfxbolqglHlku6GmvijkeRJsIVT4nQk
zyGUrQrSQE05n7JJS099md9ln9esncawE7j/XF6s0XZetZTuLHPHfZRgjkkeKRUMPi397H51bIek
TWIh6F5EN+60AV9DU36d5+BOJRcGIxGacNPmTeUflrT7GS03p8zeMMw5sNS9pVJu4Y9sU4HCgOHe
FsORb/0I3ts4x961zgExB6U5YaaoBRuHgiQXMZp9q3mtcfmuGQVF8xEy6p7hKRMOekTlppWoKOt6
xM7LDRfTu+sRLU7OJuY700vRJb8sclHSSDzNsGb9Yd7oVPHNVEKXL8LcIJCecD6JVZ5uD7+yZAKb
aIS57cuA3DHnw1ZYhgbCCLTOpEQLe/Is6+hp6cxbLeq33jUemDc+M9tyia06RWP5AY3nSKLsm2bE
2f46+lpy7YW109AoyBhT9bG89rVgt8SpodhN6DfTun3GwvCWNPnbrLFsBELcsjG0R/MjMSmDzaY9
VrrxVcbmi+c2+7jno0eCAKzlNBvboCyHo/w0dc0lz2LmAAMG0xhg856XLUK/xfxuTPXdKOKrmcpn
0wU/cDyA9kWYZ2H3YVoQI6QX1zamViM9l6SzOEMmvhgVWU4JMJWdLWFXeF8seq7NyHVZLMQRJRN+
5O1XTbcuJXhEZdtf1UejHgrv4WOjvFdAxsz2lvnfbQxq6djhZbXjj8h3f02N94YjQwBPZZq894KP
Y5jqHzPXkIS27xs4AycfDsIewqLDqHCYeCXwyQrvFC/uudbKc2AMoZEXJpiLvIHBb2ykYj4Q+DD1
J216TDMO9RbQaeE3O3zUQkR7P8FTvsxf5phE+FgnrwrE044w3y8g4idL8EUrmVCwLPWHomhoVS+L
Vi2h5I3HTPKrm3ovnV/+rJb43Iu7D6hTdC0U5OahZYh7rUT72bGS9RnIEmaQ5FwYsEuY3N8sDW3M
rZ/Mq9RIrmozSJlGk3+ZnPkPmNg3SpWwqetfbXrxM07Diu1qC35wgvWP9Xh5mUrIKxDe9aC7LEsT
7V0jH+ls/ZcZgMOTTkKHLYlaxZC7yrNmWxje3Z4r4ttoJQFFy2uE+x3oiHNxgdeMoD1rXMzSvvSZ
j7ireKKujsPZ7ZYQ8+QHbnB/6glP9b4jEd2I3VA3dk2pORcCGY9ZXbEaVL2aMtVh708fXd58uB27
fmVzEuo5I1YHULm+YtG7M0C5fdhDCZLdiTDmZISgB3dv2znEzUZVTRvlxD+kxrmmjNejhPKAhNCd
1NBMlL6zhPrQY1HrJR1R2s1J87J3a6Y/akrzUE427UVS1cTm0lKV+Ona0vIuRKnWBCR9AeF+cTXL
2mYFG71LiHRhEsltz/JsZMaXmSJJIS95CP8BQJl2ENmImAd5zDTCEqbcPrD6/TKM6KsTa+mhr8cf
Aw4ne/CladNOw0MwQE1gkBnpXYjlhz5VcN8q9nSsnckhJeRAY8e2bZKOxLfR5ByRWfltCABOc4ii
+yqVsGqA29hcb+ZMJHkkhx8zGXeDTviXJ5pku0B8UFG873Fh854Uzbs2zjc3Td5LvcdD0iNabYFx
08vhkpnOQbom6Rvmcx6Bm3jkwDPCS3eMQdINBLNPXHaKTegw69oIP3lrnOAuS19l67hW/mEv1NfU
eq4HKjWX9MJ5mb5kOATKyD7aZv1jHJ6Nfuv4xkezMHnl3wwvgnp9O0iTCZzcuw6yVabv6LLlHgbv
hhkvqBjR9hu4Q8Cw9kYnJVj9mc/ebf7rd+lkbm3K+xZDMHY5hs/EQnGC6DyFy8OrR0vR+TS1cRiT
ny0su3//qZnUrEaQRdRdAmZXE/Rjnk44wVE9xFAx54yi7ewNu5mHo5JXP5pWFVrp+4IHIo8bN3jG
Kx0Rd454jiHB+D8yclZCjmqyKuQ1wzbN34i9aQXAHNhZUOV7gw2pTtyw5nsLbtX6vfod/2pkmwFn
Dm42GJtxH4pUoxl2rcrF0z/ksRXaxrJIe+P/mvEuXQV0nEOrcTKSoBXw9+uvcGxU36vLMeBxsiq4
kV17tAR8bQzSnlmHtgaI3djrn+rAKjzZGFEC86bypc5MsLlx3/MXqJgCfhzLAAin4sI51LaDCtWE
u60yUepzIqpQHavTNQWJitHDghmsnrxuh936AhhcWzkJKP3z1FShejh1XOppNfVykFiur53HaJxD
TLel/jrx9eeWSbZRgphw11ZGW/X2qJen3sJ/v9SAozInqjlws2ahmUDxlTJYE5O9Y/3eNxlnG7d1
TMBIBA/V9+o+gnm/7n7otC22AM3grl3+191xCjzoKck8PFweRORA91sDHAuEokm8vbop5tei84/q
Lugaw2WgQ0HVYBvFL/VQOmlYmBlzrZbbuW0/pKju6iHVfQLxVCzP6h7qmCrxJ3n690Gp/GR1wLFw
TuqpeIqbHMkQpXnOOmN9OvVwrhzgBz5ZxFnRonwJliM+11Qv2c6txLVs8TxgiOUr30UTYLHF0bG3
mOphC7WphrYJR5NJR2yln9Dg3yyuqkyScrtobn1IYl1ju5/v6wC/7rNPtts3beJ0LZ0Go4TyLc5w
ttNL/TgwMTelyTg4I1GpB4vWK05FqNFkzUfTATrCZx10x2limo2NUrqv8mjjSqc5Oi2U7Ca7NvFP
Iq0lm435QrfwUY5TycDde15pEHbDiTqWT2ySgGVqKGI3b7YgHBrlX4ekYBY08l11QsiXmGVysuLq
VYzIBhYftg72FA01DnBDce7E+KL+lUFj7mpFE1NUsA7SkIk6fj/uDa9jgsUmgmk4JqjRKPap9wsW
OOlKzvytj1qyHB0gaj0F+V6o2NAEmTur9d6tJfthVZ6/dZsW7yhFFWaHqB+z07/mMfXQ4gCyuybT
Jmtmz7BH2jj95E2Vc5rVhtVmykOgATQmpYG1K9bfVrgbRQ33FKkXamFbllcMbJlVqQkMgF2xbW3m
MSl+F5qdHoNWJFswVk5vQOG5nO/9gDVyVohbjO3gxlUjM72HQdFV+S+7TQk1jukeTcnxV3+ELxjW
WsUP+BM7XeupmBjun2RrHPWSAZKZ6vlWj3ZNX3+raqPCpzbPwkiFA1v2fjEYtPT+ILb2oL8i3WJK
ZhaPSAwqlbCCxMuQQsQRHrkWvc46nKR2PlYe2EGVAHSb8Po2fWQdlqhnEluwDWM0gPZqPliuqPYm
wXt6XdinutUvbQAYMUsSB6UaZjqmuK4QfnEqBYe5Mq8EVLGNXkv4f+M+nVC66BFYtqHG0NKA91aI
1ziiSF1PdN8jmGSo3F1rBM4OO/JhX9LJzN6YHqqOoV9V1h0VFnPnQZ3ytUbSySKdbO80V3d2rNOs
8akOo48pEHWj5vvHypnlDUJ5yFjFeda9cyC0r0s0/Ur9xdilQbZfn7oh5H7j5lq6m8yKiEk7rk7E
i8H/UtpxGxLJZImn37SCqq/04DFysUJzU3SwqrplSyrDLkbln3JeSN39WiAL3dYS4HQonP0YULcs
6XMkkN6nM3/pZc4WT0KuxCF5sxQzQ7JGZ8gFJg29PEyGQ4VzQ1kBNSfS0xBFRGfLNosQ/nYx8Nmm
35xI+AQvBa8uSop9ZZDKKadfVJwCa5AZt45KXHq8oZB8ftcNhhOJLK70gc52nhbiNmV1txLxi3l3
soF5E+wSuz4PUXMfuuRquNmnX9yCgNKoKVobwQWos7oWooFzWyund7guw7Z2WQMM/BfMkSbC0Ptr
QE5pDE44JbC3ShycMSyDZbGOU9VAcWVJlYLjocjDsz99uNK6GdT7XgFFpJeUR31GNdhxKgHbJEGi
oyCmNLJdyahrpNAr0vPgQ+FnXLQODdqCuRzlxyNXjHwEf0yQ+Em3xd1ZnC8lDEKGPQxuuIBJon/q
B+urk9HAVdpBZ+SYj+I6us2O7WCvZy4zHznk+8hjIiAGYozFPo/ukz4A4EKZXxZ4cZVFVaaeRDKJ
riLjW1GLR1c4r3kCD0ixvNg6qB4Zli19BTrEBVwqy+PCL8gk1P+o+dlKzFlG1mGe9OJY8CbAim/x
HDGnpUezE5TNRFA5NJjrzH6Kwd+s0b80Wf4wjfJu1ZwLVZD80CTRoh1DbXPIvH0hPa7nCYuEQQ+d
iA2/XwKyDns6UH36lsTEmSoYyBlh8qSJ025QyVENTfmbsYARVbzCdqonehIr32YJCWduDLESR4Xf
EMQshqoo+mIgMi1GnEEF7oduK49yKMiDaorgWmr+vnbMq52PX1AzpkCHnCDuSLNOYJHyHagoI8p2
JxrR7XxhvdZd0JwZsoWpwIzKNWB6iMwpTnjCPVuCuE7X/FUP3YeOJdzOWqgBKrIt0pGPILDpL+It
PgR/jRnh75+TyGwh1UGbh9NDWGKOLBfTSN5INWYaWroHm8BsZK/HkuFcG3dfMdE+ZFjfbVuPmbbX
fxJG8/YXeUp2P6v6U5Mv+JRX9nDJ0Ybt1pFfkbq3xTRI9OI07xTTE784glANcJN6hFDTtZBG4uqh
JnYkt8DAYXizm+f0Uw0FXb/+2pnyNTcCwBr6jXHm7AUIRrJXuy+cN1+qVtvoGtKWdXYGi39Ti+B7
K5fvcmIBEhmzzyZIWISNOkb3kf1/PBxW0cV/soINnM6gVmO8A+/8/4qeWpMLDQ5sj8wADsU8rENR
Jr++nxFRXzmvC+TQY9kBI9paBGgWbFfuQjbwJlUaU3dFj9J7Fr6JjV1xlZqUs0G04q4pJqMXUxZF
gXdaf3KiSZ3uxYP3pDknsYvheO/eZosOR6/PWTHQv42MIwM1wGuG5kwD+mWJed/+O53c+Sed/K+X
bXm4nnv/iEmCxiXKOmv6I23asWDhmBbjFniQRzW2ZjJibnn9KebJD7FScjaNbxBFaijOhci4IOjk
YAVQrgj4d7Oi+SQwAXZMlj4pQn42nSrAluDDb0YIJ/5+cHj31l0UgG1LStFlLNjWzKR8HduICwEK
cqSln6psStR5it0BuL/F5/EX114RHKoKKChq5jtV1g/ZsmKrFa50CUmBWnny9SY95sml/tOky3Or
Ycz839806z/1M4pDzgs1LdfHy/AfeU5IanJv1KzuqKUWBLg6eluYUeLoxlqmZrlT+9qbKhFTsX5W
egRTl5OwgePU1kLDcvVEQM6lo72PlfYUN+Z+Jccs2IVuloXFw3NnQRtXXPK+451zOYUSPXkBJv3x
F5vNtt5HkznuQoukyA2xTI9L3r4gYWJTTU4qNjEBlFZX4H9/+d4/zxkLRxAbFYYPk/Ef3gDx0ORm
kBLDpOuduU+LUIv8eOslbBOlFjPfIqlmJdPrJiawnZ9eVpKeZvFRpqUigSs2eTRHzw7m7lbj7Vj8
jovLUleOp66GYrkWDFND7AVMA6E2ldguH7PPO1Nh91cVJU9IsFIJB4L1R8PUQzIjCpa/qENOlkCZ
o60oah2rAtntpCfQlvkwqbIJhkcxHT0d2f8yrzykTNrN2enqk+tj6IA4nwY7wQ3WSe2TUEQsPyY/
1CgYA1nAR+R55Yeghf2ZP/QI7lE8v+dQExavw/5d7a6Mq2oKcoLX10LZzIIQHjcAmH1qYGKF//0T
IajgP0VVuHdaJqIVYquQ82II838XMAflXV3MhMxkAmfIkWL10PsEYpooycpKPrmLi5Ep+T9h1Qxn
123MsB2TT/bkGvf1jdnH77M6+WrFsyKm7II87Ib1movHH3+kpdW3lhDPoGJ+9dei1BknG0PAbmyy
nWaYP3W5/PbS+AH3bC+79M0Mik8/Z+EotVeADzbU1mSGAqssb1192wnvltnDYymJFZ6biM/D/dEo
Hid+W+mO+MB0l8zFrvS096hP8GipB/kceNOuX/qL1vT6Ph9NTCAr51IZ0rk40F3zHF1dy5gk4aGv
Yzmdo2BsuaUyTpE0w7RsnjuwuiOuqjmFV4cdg+h02ORwZ8NaAjcWerljaUO8IR6Kg+81LmAnC55i
hq10NquHge5Yv9WK3xbUSKpIc9viswhIsfFZmxybKnBlUq2/NynkrFZ70cf4syoL8pXQvZnd77Wg
jMv67mpMMNtqwEdGXRmKuNV6ztsStVfVF8d1+t3L2lMgondWyodqTemiScpW2FBS9N9l4HyP9DrM
HVKR2zFCOhK0B2DIa7NQcQUaNcIiRmX/8EMRg6j4tzZy5D0cxk97nF6asryYeuLSJMKhTy2q8IWg
5Cr+GrfFcWWq9slPEQ8fmqkeK6GHQDHqVUginLLEHMvWdmPOmbIkTOz0Qey0nE40bapr63pvuQaD
V7G6VMXZFZ2pyCDFFlL51S+Skx87SGH/4rcNqu+oRi46vRzoI9vmmMIh9QERvASoQxHo7ISxU45D
l11xuGZX4rZfm3Dv7fptMODzN9249VUrTCW76yBG7rvBesG+9HukViFv4cn1vvmaNub39QJP2joJ
nYpE6myEAVDHCGAa815nuE6iTzOYqyi6toM+tv3mx/LuWBqLDX3PxiE+yqEn9zVsHbEbo3kOaIvw
0P8yNeJLnYr7rHQTBBxtetrjoGPz16MCFwU7etMAz8PIIFDcIl9obbt7DeBkNIACFsp7Q9EfhcYf
4pGVpPI6xD9B+jVtPW2T5GIYLbsHM6PC8i+1C8M/66300vIm20sNSaKqvsty2TU+QrZcMrhmMv4+
5MK4DNDTMCnZSpmn98yUJ1J55FGYAUCPh9GQXAgaQZAGZIGPmKhG9hM9cA72ktwdesuTlrtFWEc6
A0BfXuW8fDj5bL7m+PVivXXFNfutXhCx9N67j+UYM5hSRxgA4pTC99QJgG/xEQLeqgBk+9TeV0ln
bqVpjTs6dBJiEFYMQ3Fwe3KgJ7zsQxFMCiXt6VRtBne9IvZA0qyOXufsVmJQj6xnxg+DT4JMnCQ6
wyo7W3nd7HOtOi9L6obtpFuohpebCWp+SEYNIktVncp+Ns9LsNySys53SGDu2mDUPFy9kFBD9qq9
6BC6vtdzQ36m08R76XSfk8mtjgbGIHC6PENJs86e1/3rO8aGBjb0Z83UXxYDH1zoa8dat8wwca03
NxDLOei/StxnwZegopCA65ARqb7tGQYNfXoQST7BV2y0i4l/LZSH6dhEi3ZJvcw7t8vn+kOnblm/
Q1HHELS1odlWM77wvuVAAPRvC+T1o217wSUaluzgV9a3tAny6xRPePssZRgYpcNoatYvmD3eBvqf
o5DLU+x52bHICgPlyADdvGiIxdAIzBBjinOHcJxLMpp3SHTOYT3K9SgsDweNyuo+RQSHJRJVC/kh
ZaTiz8Y2og3dCmk5uG6PBzOek5NbFMx3mpyosCzYOilPpwuCiHUdE7sC4NxgeLizVA5wB0Pw4pdf
mwF6nenEp9xr3UutipDIQCXsT2ipEZu92HHfH6XjHzwDSCWn7mTQMn1FB75f0jmcTPO3JbN8lw1m
e7Gbvr1MifGrgZy+L1XWcFJP5Af7ZbzHJ3eXT6Nx8uyKYQ4o4UWaNuGlMWND1uLXKPa/5ulIenik
Q2eJEB2V7hZPCHTwVnaR84vTz09Vx+WSBMbdJM6b9MoF/qDWZcfpNa4W4+yn54UDGJa4AhjCiwSS
03jojOIcD3N/0EuXLrlplu7saF4HkmFtxoUhyjabjXsFw+kMwT47ZSKCe4xyAYzQyPszbWGOyOTs
s1Kz8WReuD5GDJUXVzdr2poetnlFmjylMMTxBgMCpRlL8Q1iGNcZ55UBnHcoUYToYWZp1bbtEOpb
XnJcJVyi70GA8/Ezxmhd8equ66pVKW0G9OrfReK+2+XyvlYXWC6KkDnZQZqM8+K++07iar73GffB
5C4ePoYj+TL1oa70DA4u4NBKsL+Odis1upim9JAgqJodjLDa/GOO48tKz67Mwt16FNKM68hcMhGt
SVd7gh+1X49yJUwriGiJyvuUhJAaz0ZiPBk2ee4MVbbLEDD+6t7WOqmd2T5kXB6SDLpVEQXtVsP/
WJGd8bTttk61vKjtc+WQI36B1d+y9vMqcNHMvhA3BuW2yx9SUYN1aOeU6e3b0pQPxYdV7HPXgoGO
sIlR4hR2SAJSRJCRIPpZoeYynkN2fUppl0eqJdQc/AK6iOqyR4Ro5czh6mabE/+TgStuhoHn6aE+
5w2kM21oaK24ZRXJLHGtbx4rt39M6Ny9dI/9PTz1XB6MQb4tfTqeqhJHutRKbm0hxV7v9qtmayUI
4xRXbludXnSEZ7/zGpRlECk/LfKvN4jn0JNZ9LfNtPhYBpRno0f5mgmlQQ3M46Q1T60evMXOwqzS
vNPdog1x5ZsDc7cs0s+lKbhWGUEN2luurNxdtwDKmh8YtzSbXm925tzcG88+VrOL0MQ5rg20p9jG
Q+c9w5Z4lmVn7ccOFlfvtadiRdOUHjDQTiRT3XXl6FDGM5IIcu0Hce6COlwK67VQgGat1DVaBh6j
Yxsqk4Gixbo6JrwpOv2xQ/nC/6kEq5y9KsLlb9pmepOTTw+KZk5nK7JyBjJIMuLoz5hgk7ieEUti
gUVSRm4ys36iiJabFWyZIvoTbyy+efi/YIT8HWnaKWa+gq44l6GeSZREHHR3KgfoKvZE9VTF1EV4
hobWsCxIdMtHp2n7rtC+rU8QOxGEHtYHq5r6TeZ0b0q0Y7M+sNo231TtueIHET5GfePEoarPu6Z9
zRldI5Kh9i0BbbKMtj7RxDVtNVIxpPelmK2nRutvqQcLOmphOnckXBDLDalW+S/gz74J9BrhTIY/
sovzE4emD86bdPBUi6dvOhbaO9PjAuklHw/eiSY8BO5ogD4TIkmcl0JdW6lEYKVQn5D7xx8DsRvd
NLj2SoqaKikSHh4cms2cbm0RNR4i8JKbP8a/tfgm0JyDVr/rVvRZawvpkfAnCVFrwskT1ORyucuK
Y41wlWZ65PVbexTPhECErD5IXaZil2rxh1HxHqoqlQ2b7AvvscjmcRRz8EMvy0/DRCygrtveSF5c
fCXGvv6TR/nJUABICfKLrlc/5XP7ewQ5tdQxTtS/tTfgShEsPYcYwByq6D7KRUTnpa1PpWVCF8OL
mUbjKDUunSCynVDTcJwaLcSNQ2MfnAS2rjVlnysigitrGBNpvvUAAkOboft6Mzmwm2g0Xv3c/+lP
wRMY1E7VS8k47PTRjxTXindASYdE/KiImdstAxap3XLJlfr9r7Us5oOWInsEBP2R3vcHg8MGNLpG
ST1UeOZjZT4Z+zmhk4ckznLYoZsgE22yJEW1dajFQIOjNHcdHiLbsfH2SrSi+nHVkjgz7TU1GU+S
J9sG/swsCDhc9fWZ9RP/IASDSuGx9kd1wq4dJzXimb7AUTJ4W4VTqwLDUCdVM2vvFWnNFXLqFYBb
cWtTVc0eccFFL1HfYKgArzRG8kvhVyo+lS2rfGtxoeYAkcdhMpDZE8G4DgBWfQ5RipwIsL8Mb4RK
q7oOAs+3aYf74ql1HepeKvvRIG/Ih9MRPA1LfyiFiaMZ3JNT2hmQsVyfKU5anNM5qdha/oe881hu
nFnT9BXhBLzZkgRoRFG2JJU2CFVJgvceV99Ppur8VVPR0x0d0ZuJWQgBAhQNiMz8zGu+DabNj2Fd
pWZ01Ezd2hqdgxYxenZb/G4USLrKZVzt+74uwy3iWfR4+pGqt/FzEbNsRg469W24UVqA5+Rr8Mns
mkFUHsw5qGMgrWpiO75p7PSeX1EyYtVkYSUqPR867ZwjsqWVJPrFRLYnP4KZMuNOYfPdjFX46Qxu
ZTZvurlkdWVGSguSxcaEte9QoFU7goNsMv0mXG61RQOAAesCiVtcBWvV2WDBxHhqtZMkiE7RwbQG
UqN+B9VTKW9kg1MmufoIb89wzhif0Gen+t4W1XejV4KoWi/dxECVrNvQoV9pNfMQGD8Gb370lG7e
9SYEtWQuzWOqIsOI41cFDSLoC+dcYxtDQ41Cfr2o2PChAVPF1B5UHaZveJAyHcugLNe6+YS4trot
phFiiaj4WJEJ569zyzO16ZPjwT1Ac+mzXabPKlPAfzroN6NDsM3z2zQBJYR1CtUDho3kLEvmSbw2
R2a0R89svsuW27Kw1rn98n31tHOqrpiJr+kGKDyFMS8TKIVy13jpd8l4gynKuhoPP5xwvZnBbU+V
89g38xMSlUjE2Y9TOF63lbV3Rf46UKoANQZnS+g6YI9Y+YVgeYl2s91AluXDy3xSUdFrmJQo3cRV
RsknqQCcNxsYB97XypfW7W2HTSMw0iQQbEw5ujJjCcymu3JLHehS9s2M+CpV2hy9AQxd2G9yEd41
PdOzHHKF6MjIpoZoFA3jDzQiKyrgarNHBDI3yd17bi4jvU0s9b0cGJeKEgejzczpFagdiMqx64B1
VRGTlUuym0U/lBR/RaFU8NWS1tppAyTKFpyoYVXOoWIJKVRmZfEbArWgV59SdG5p5rd1exwcehOd
80ijiZVFxEiVysw0uNDlwF8f57lI0dhCck9VPkZzfOnDCbtM+pVNFuG2e0hshkdNAUPeDUqb1L4c
F7KGoNBgoeXDC1KfRPvQuRcxM6DNbCc7F7KB1VtveKM9SC6RB7V5owBqtNYUgTg3Wigkrk/xrABp
COOgJB6m9shnRScKInxubWk18vIZJagmR9FCjUPYA4wPConIGIhyxryeI3FD1gO5s4ilBwM9BXLQ
o9KWtx4yr6AOy7OWM/l2xExJpIB4AO1NIDQfDLHiuUA+oXLntyIeM1AhLpCuEXxBtCFE7UtEWhqh
p7zKaWw+T8Sd7kzBR1K8tG/Oaqd8SpW+ZKewimWoqJP6hsPVYkafoteXxOBT1uZSj+levpYlurpr
TSc1bZtHEv/PUoESjZrXyeWX30pisVCaE7M+ZTtkoJK9rAHNoE5kvXmONACn9CRE1wX8mb1Vifbo
4NZBCvewmfo1EC1MoGb0vFx+lqK9hd780pHcro33DeoDjQtqGSDq9essj1/kGGo0bQqcuYWw4lR+
VC2+28MwERo1ghJnz6gx5m50K4m0riDgCzavo7znFClgMXl7uCWEGWJkumP+SuFIXcmD5Uwx0NDW
ltnPCJTmVBcX40m2ONYCUYLafljib8OHhbj0ZjZZe0LnAi/ntSSl3niULtBnoL1U5p/47L0mxXSb
eAt0y0iT/W9k+BsD7LHkT2JiT3G3ZuUsuvK8CDGBwsnKoJ73JnyAyiRvEDfrkhDb96I6JcIWemTJ
DpG4QLIKRTyXCCkEo4D+KhiIEjZiGUWQmykl44amNvAp2JrKwcBS2IYV5JdJSNk45a4VA4u2z8nC
+heZtxrgxzIFJmTnqTaRBa0+JWAAiD0907LfTUbU717bVtFAlBe3yToQoET2K1wY1K+LV2a6F9Vb
ApHOJIJba3bFbewQHYvmt5j10nrwQfuXJEeRsZnm/F3UIKeBGFIyuFk/niK0dFBy4L52M6jBKlwf
EafXlH4HeKJraB0nG5s3+RXiEfFIr8SCqcKK1sL2QdRpS3Fvzm74KHUtMmjWrJGgf/voUKEJkNXq
sM0s/RX1V5rijKukop7uIlQ+KzTOGtSLOI9eA2lIrcNXjTrFBgwMp8WEbU4K0Wwirblfcrsh4yX5
G/hZvBp+7GBtRgUiMbeFDFZgQt2WJZ5Ubvwprqh4t9hoycgEo6PT1a+adGHqO7pn9caysnNJBXm1
yjyQZX6VxFTblW3xPuTJtYic1owQjdg2yNMEVnHJvUNb5UnVKMOgtg6uBMlXfX1uBgi4DoUOWwQS
lm5q6HesV3LO6AQvPU0BNGXwJzfwWK7Cdg4oi/t8XBI9mulftHgim3lwSJ1darkaCkutTZm0mtdl
S7SRQakg242KnVC+oExEe0cwHIq2/1BpeCjImGz1kYmk+AQ6SnE3dI6D5lFPIQMzBeHW6scdWDIU
9pD2Ao0x/rTTdC9udzknZmnC2w1pIPshtgrrP3doKRGCyTBTjV2g/NZPt4ICMRTn1ERr2XXL8ERP
czs1ir0TNXApWeAmVkAedZFSBZogxccLVd7KgixVEEPK8RMbDgQOyrybIsenql2js4i9TId+aB2t
l3nKwm2XtKD4nG9L09XAuL/JYoKsYyjdgsj6qD9IcYw2X0DbZh1oT/hAY8Y06noxObThnGJ0o42Y
OwcriT0iv1HQPa4mSzdWndSZsL0b6s/FRAAJG+F521jWQ0wHfFMq62HuuQfKkoVd9UYtqLLDIGRe
Cqe6VgYTDRJ7eXOnD8lSD5sMeInHNR+o1bgkqVad4D7dMZuPLAUrvC5v0putAAb0ZESU4est9qAk
IyFlyJh5yAgblusEQdTiFGsDfbRyJ7rvqkP1cRRL3VQ/9UzJorJSVNRjtPrQkBk5HqA/wMOfMoHu
1+7BMIancZrNrc7vkyHQv5caSyHtEoWu7TQYu3maY9JzwLcTCQb+HR9ZXR2XXCUEtHGWdATUVxTq
QZd9X5LiTY+ZIujOjdtpVZnrgGzpDuAMBZJO0vhmDZBryu2rJFQXIHXmXSEQH/k0XppWX+nXJBfT
BYPVruDgCgGeqiOCd4tRSXHWH1laosU2N+gbJ5uGKulORchWQi56hGY3thWdbYKUbeMxH4frh0Ng
CzYH1kvp4AD81XVdi5eigY1htagAtQ6vNyOoyQgF2JXZvgQPxTZYuiUiPe2QJkXiM3+ZLUOiGDpt
fEt7BJETPrLTvho6DVkLSO5WrOSiJyaVdxKbBkhj8aIKgqmKqfqygMJP3RCVPEtxlSRrrnGufBDr
ZgMGncL9cIVCFTRykcKndIccjWHeRfnPaniWU6icz8r0NbFJCowaLKX5nHvJPkyoD9jjjJVB2147
9F4D0vxXBYtKrajv4uZjdIe3uqGv7qb8ZrlOyJaAqtvODgRMIzt3yEHKNp6UCiEYr/FP31J/fRXZ
XRl5BzeZNiNAHaO0KfJE+2Y962Ms5AE66jXglwOz9q4UJdwXWvZDinIUCjNcIUrTcAg2rQB9RKH7
6PVEYKFBBOYynYvql4MogMR0TGt8mtzkBcQhxb15I8ucNa2eLXzCvTc6yUEKQ0mk19RsjIh1QAIH
RPMvswHRulH2AeSJyCgcwo3ZZB9SWAixW9pLlYE/rPE8pOZH2uXfhICRWDbVKoWkUbXvbtVdA6J8
l+060H77paufV9xayHb7Gm0XodtAlVNghsYetGVHZzcWg6/tq0comkfZANYcOnYUaDam592iBXgT
AvfzIWUw1UZg3vvwQaRP80x4j4wj+FRBNxsdoWBFdFgIiN9gFtd25unbtVQ+ZHFYtwWdeMZ1A6kX
OiQAWS1+d60DCV+2uI2QHIAgwpxVpT8HqWgIRsBvW3mT0hgdt9ZobwukvUUjHh8P0LPi6nNzg+uh
AVn09Zky4VlglWAvHGTsJ3O3SrkkReivLj3N3E6Q4wdsn1UY53UAsw0EmoDoJvvZzPZ9aj9rOlMy
aNMfsYDUxlrre51Oi5Q4xGjde6x5olMy1s+95jY72jtbz+4vYM0AwgspMZGlzUISCb6fiXPHd1Hz
xVsC6QCF4qcor2OshKdv8QVk7YXSmGyjDoP+bplluRus99yaYRQKOQmR2YjqaMIKWHboMRizAy2R
lC3ntCPoswIKYgINSUf3ZhnU67hagQoY5Gem1ZxQ62QaLZ03MSDSAmiaDq9GRNESAIf/puibJt+b
m7QloSjEF41FBNAPN8rBbovSD2cXlRCtu5P6XdnKcp24Abh5lwxQR7uPdqtvAw1HaDxmLIdKUC4Q
p3VaVtsaGWxNtx9FdRwLzPdSad+EopXIGWl8fIPTcmjy5lZoilSJdV4pelBEJmacTbqn3gOypS+w
COFhMpMz3TGv3Bar+ii1D3Px8T3lPKuK6jcZHOJOqNGhJFLsQwOYbndFEfNNVlm0mZkj7lYS0fZb
RZ0f4mkCDDAxduISLmtW85HHe1eAeSps/2igAIIh1TLy8ilXZVddQihF4ilH7irU9UQOJmtP1ChO
BtFLbhY/DVE/FVfZrdfronZPTk27brV/FlMDTQaIrlp8LkItzjHf9WS+Ez8P3pFZENPeJC2mGWBz
H/Jr4H9Q0rNpHOJDflOzuYfCx4JOG0+cRh+ahQAvhkZEVuIyy4hYlNNlfj2jDk8Tma6HePaCOhxo
cUJmmQH2yCvAPM6uFjFRiBUczlGG3dsGn0ZAEjXOtYsieJtUtg3FtwryYbKGV3jJ362OiVdpbQJu
dGq4EqsItV1Rvkfr8sbGTkuiPNcBxHXbuPdyJRlB+SB3pBLK099PayIRbtHvNoKFxVqczDBCs40p
arjOyuG7mGvk2o8f/MUAeOSDEzWXQEixDcKXTI+SzxAdDDTaEyxM0DZMyvqlrx4Ww3qUClIi6LWN
9TUvvSsYeEJ+0MDzKoqe+4vaxd9rxXiv78wgMytr19b8oCKqkIuN4sIGXZYASKQbilBVNBT0S4dY
wsYcx2NaTkdoUjdA9J+6CQl42PWP5XQfF3SSoUQ8Nrpu0EhMmbqyVxnfYqOn4Cu2SToLw8tm+qrG
aRrFAMuC2ahHxhcK8pdm8C9x2b8kjP96+P+nojFcOgCf/4WicVKWH9SX3/4PSeOv//olaeyiW+wa
oCiBzxgatfrfksae8y/dcBE5dnHnRLPR5r1+aRqb3r/Q8AVNZwqDH91ygG390jQ2DYSQPbySNSBd
lscr/080jXkbAGB/IFxVT6PGjaG2MGQhKNT+8iqAd+hh31SqdNSVKibKrp2xNa6gicDSXDoX1xK7
7o2PcIaovqtdB/GgTRsOsfPYpDinw+IxJuudmnOlfDNDu3Gfprrtu89oQQ/wbXWgTL+POAS3zF5d
e1qNFWT+TEScgRp14T+SzDlKuqtqO+8eWstZ9B34yO4p0cuRHnxXx8Nhbrj30bRpNezS3XwMf1rx
MGN0YOsR2l/xmN9kCsArOImocwZjpfSgsdVhjs+D5zXVVVMm4MdVCJ71DUBFqB42wiH6Xh+EOh/f
JEqgb+blKwoDikKvMMqAg+TI37A+Wx5UQEF3Vfe50msoVsxEI12nLDOwXpBaGzAsvQ3U3xxgoyZD
Z5+XnAZKfDOUyCcq/oQ+c9fxbimQn2NMg4sqS5pbifbmxG0WHZHPoVGqdjm18mbKMlRt42Jq92Fs
3puTzQRqrE21qSoHRLex6LUStGRHPwBiD0wQppfH1300oobJFAL++0D0mBf7Yo2Bv7EseOH3sui6
JFBDpGo3HVUacGKJtghbASPdsd5ZgmfgwJgf1tiBlzO5jfHAE7363Y7RAou8CYIZgOdu32VNhyZd
29bwNiDf81KW0aM/mA2YjHk4ohZCnkLHg/ux1JB4TTSrjPwmJVAA/IAW5Za3hdlo6uZdaefGstFU
BAm2tVbRfuma0Pk2OAivBuVY9/OdN+jgPmK6RulO1xdVO7VC+JNFxsgyONadbtaAmnq7vl3nzkr8
BL0WKMxkx/ZuoY0GP79LqyVAt2Htlk2ijNQ/80ZxPy1nErUoj7wBkbE+80rKX14BoTVpHXh6YxIl
QCUj21h2hU41bWvi3+vWu9Ie6RXiczY5SBFjJrtP3amBn5jnioWwcldEl6geFv2QJginBjbJgnqp
AcY/pGaNWtZEtNFc530XRdcKYBvnCdwvbfGlwSPlFDKjGCYSB2hKZn6i1vwqUG+zDszmNMyi8w3j
Th+TE/GU8lKTpz+MeGPca0AwfCVMUFLOzOlWdZbozAhgjaWMd6PVKlQnKHHJe27q2SOSPtN+KvV4
D802+dGMdrSfFd26KlS3PlQdVt6eW5R7vZ57/DK5zKtrV2BY1bL147w3rsxWa67xVlQJ1kvjRslW
ZeehwfWYtzZyPuAC4Ls2cKpjFXBsONGbQLD9FDZmcWzJCB7sJsIgsbeWbZFqWLkgjnpUw8h6wt4i
BMfoJdalW40Ps5iWtwH69sVURhPPpim8m8YVIrqmlXcwUiOuRxfDoBu7O1dgEsdcq4+DmhgPcaZ2
CRKHoi2czzwxb+x9N0/aS0FQfDAglRzthaGSDzFkEC9Bx85NYfsWVHIOHYKlB8XDeqdV7OgcgaOB
G4SLEU3wzr1p17R8LWekjrC9i25tu3X22EaAS7HQL0rKxPVXXJgPXat3B1S1yzvPYHZJnL69NrgV
96MCCZDCp3U7AsF70xOKwM1Q1U8AqfpbqJXIgZTKEuR4IdysaZQf4TzmzA10NSywyLeq1SNyZcVm
cclcpdzFaap+FmpaYopTdBdtdmnp2FjL2lgPFvrR7FblWa3X7rpH5px+0rLYeBTGWX0bG7lz540Y
1yzLDBrAKLBCN7zRL2jr+/D+zRUpY6PzUajsRYSODIfWz/er3QyBHRra1p5CiqD9Ui+HMKKqpecT
ejIwtX23swTzpUF9LhkcZztZa/lz0PSUO0RlulWH+GGsWvvSzlZ3gVBe+SG/z0FPagsbUHi8lKyV
AO6fQlPTME5NoiFamVNFd1HnuFZSPWe1Wsq92wMbQQDbQYfGcn62EyU4avLJWUUuPSjaWvGRsa/3
k1vhVJt4hGeO3V7cttd301LH38IuX67jwV18XVfToFnnmewOyrRXFcbJQvKMBihjzDZtfZczlOBg
m851Xizuk9sN6X52U+uqj+fmukcNfq+v03wH+am9cA3geeGYlSJ5U1V7NPWTXVprNpgrWmZe6Or7
pQXzWelrHagF9lZla8aBEmm4d+vVstPsEMM9YSWKCe1winFBAu1rTUHPvEns7xjwLkYN5PwYXg9a
NAYLCplbFgR3PzOiAyR1wz1SDhVkRTW77pdWf8+jqb1YKbqxtWNhDedWxd5V42RbYwMM623FCNad
ZpCdYAfSFY2oITUaH9U0fvFlGY+xMkGpLAYh6mRoZ0XF0hcYvvfsgBj9BuhXv1FCNNZYMJ395OE6
WfS9eQoVRA0Y3kyi/RL6ec9qUeNiGiBu537GphpdabA/A2VV2nsXMNhGtQbNT6fOpOaroZhVYO6U
rYD8ioV6V1F46QkkTItkKsBwV6GxoAzFeNGYOeB3Ausjxg6364yeRkrlh46EA0tNpWJgKfhjbirc
LQ9JRF0gKaP0NHZ1d117qCsWmjHs4gRiw+yFBgbHK7fDMEKExhdmvYoqOxcLLnmkg79vYY/0UzV7
PQ7pFCLlCbQR6et053hp688aI6MwyyVIC0xnZjhu8N3aNuhRGN3a5QQlPlUHyvuFWECmCt1Q6tla
RCNtrjXu0gIrz3wmycxgHeGgbPWpn44oItUt6OlkGYZ7RUnR5C3wqF61yj72S9IHioVzc9isqIa2
TDOd4SkHxwMja3nh7CelPezXzMY8Bfnq7q1q62aHJbK5L4FxUICch8lBqKuO70Y7r4+568aIY7hd
+1wP1RoY01pfzDydcrIhnBVx9JsmSCxZ14UYDpg9lcsERnAQw6SxDrM2T+vZ5SKBAm9gejzOQJPj
gPiy7VGzrKdrFnVkpQ0tJoizzQUBwaLRB9rROEU01DjbcbHQjW4jmvfqecDV5keEsLu+ll9kiv/t
LOj/IccW3FL0/9Kx5Xmp0CuK/sxufv3Pr+xGU81/qRaG9KaFY4bjGOY/hi2apnEK60PD8EhlSFP+
SW5wedEQh4MhZROFejp5z7+TG/Vfnof/kaq6BvBxl/Trf2DYIrgtf6Y2mKHAEscyBtwl72OI1OcP
xzINBfWs9ZrpYjQvMW6a1kCHMsAnwGLFLDZ/ZH6/cuQ/3WH+pgqqf7+bYOL88W50FFXhgTtdwuvl
E3tc+4luuSgl3VlEoqjFPVfZVXRt7KvHhJ7NS+0nH9E+OZpBMaAsgeIydtRP2nneOUd1I+zVkQ9T
/L7yq//GIxJjk7+YaqoL4IPfTcdrySM+V//K+hYN8LCVmxoNPYhQtYAOl2LjTTBgNqYCiniMgFPU
PQQCo3x0upWpH61dEBKN1Z56bWpPci+NPOpBc2vuYt3Sdo1JN5TxmV3JzaitacAi8wr2dD4p0QQk
UlsRfkpZfOSxMpyQEbQXLNDh3O8yNAaZnpoxWF3yql5IccqNK3UwyxVFCrzU6AAI7c1ErajCJ1aG
tKR4PHZ9dZIPoWveli7VkQwzs5ON9eq2QmCVEqzSnH5vhqhqMfBJ7QAKzCUbcsHDZVO0oKxrK8KL
6t+HWi2p0RNwtGzDRfJ2mlATVXNomWQqKJ4OQ535/UzlKxFvSV6hH8qm3jpCsJSIFTkEW27lAVx0
6xNMhWQbI024xc8r3BvjGFRm3ZzIvesTta5fe57Ykw+79lyhvn+0uoXPaMQdLRJkiE5yg2hHc6JG
We8mlfKSp6jtKVTRUEKNFiWE348rM/d8lo5nyqbYhKuoPQs4OD3T/rRa6rVKjT6Qh/pVEQU5CI9+
6CbfYVB2p6gH2zymjU8vlBbeP5vfD7UmfYH8QmmvQa1Lfl1LXIS0j+aVthbfXP4qbhudYQMke/l9
5beUe+FooBgrd6ks1lT10off31DPlObX13b6qQXcZwzvdax0fthQX3ApLfz5ZeXX1uhjHRgO/qIM
3QlBMFybxF7SVETf+O66M6QNz7GEWFh3yjH2PQrjyFHvTH61TkFiHrJtXOa8tQcKKKBR8vT10HBR
M0WiQtwJluXWKJKyJ+8Onc7HAfYcQTrH5SF+cXfbe9zzkZdxiRqhU9uEOQR7Le5B/3ejg1EBUJfe
I5k0rR60RNyQ1hsDOqjT5LAblfiwJSuK2jOFxFOitfNpgnWQVUiROOK95G07is/8tbcOd4UV9sEf
92udOty18kN1FcLIXdhey09TyY/0z8YSorxejbyvPBuKmm1SrdZhXLhpQpepogDnf5IP5WYWJ34/
/OspKCVmG8RTlB1aKu1JXbhDoyIDimKVJE4wX/aax60rz65i76+HZbigo+l1yc5MRwvdN0NwKUJd
Q0yHF7S11fHrfHj5/fJyr++wlhvy8etZbdwx6uYFvyOT6zWBqTgtYiP35LGlnpm+S1p3Wyo54UYe
XDXYeBbi2P7X6T+e2asfyqgUx1TMWZmQyZV75IV1+yJ3l6jUENMR5+Wmca23mCUD8w3FzTa/T8j/
bn4f/P1q8jmKW4ClKN0UkXiufPbP5bfNCbiRotPfaqZjwzq7bhkjKCNbYooi9fIO02rivii+mkMh
7Ov7yi8NuYoEPVKvvs6a9sp8Fy9i1vs6H+uun2BbC+279O3UOIeL41viRb6eK58lH1ea/uuV5UN5
Qh77erk//qckNt8vU36ltbqzN1QlwBqIQfafvczvY/pkuCuqLf27Az9iZ3j9Nha3qTtZk48C35t8
lIpDqrhf8xgLb3lsQubtJPd+b/4+VgjFadsyRG9HvSoUJeIKiP8rcS8iK8ZrXbzy368n/+33mUr+
3+/Hfz/9P3mJaABq63EZFlq4rap/VsxmPo5q7cmINd+Z6/yglOqLSXXHT8WqJzeTWPUaSHxOruhz
vR8FrKeJQObi2rVgjNGS2/dCTdZsByYKNq6l3tM+aQPobTV29f/eAGH486E8USbNR5cINq54HzCj
6bbEMwqOE8tcOfWFinSJjnVyNLQ7KUotN/o/4th/HxOrXousM/NVLm57GsZ+aXKRsZKCcrs0QnNv
PaRTUwT4RB7dfECGpO1fuRwjQgnqmW5SvgfQLCSsTpZajMzp44N5Y2ZZ9ktKm9F+cuQIaswKFfYM
pzGg75WfWFyets38xWqcA2Xh3td7dHhDsV6ORQeQX+7C827BmrDBhtBCZipady7k+3lawgMoIXlt
LEMpqwNGdpgk6xfamxWzCFfJFutd5nQ3YPvTfdSRXxWT9SlS5isMajcIJyCCEEMUdKKDl3XLwaNv
q1XRyYy+xSmDtxMR1izCE3RmIUeOdXifVGMTyGPidjB0Mz+0M7kWTePVO04IN2osIV2DOhVy5He2
5j1Rnb1dlig7JRNsey0jRCrsvRXFR7ge+klTDO1rs5rDjUf78EAafjCzyr3UmFnE+voIa20M0qU4
jVN9n2gEOBX2czAbscUKS+cuJU9D7momtbOA58iNmGxPVFF/Pfw6IbCEWU59F+YUMB6x+boD5G5i
ZwTBAs+VxD2LrKNcnJiyhdqRy7exeZ7Cyds6OpKSwHiOoztFN/0MrM6aMuJlnbjVHpwbUkl04lRr
ZEEttE/ccoov4XddxGuaXKWFVrx8CHZN26+2S3ZrvtczZLkc2igltPEk9+jg45UUxy2qkAxCRI6I
LbKVX+aPxx6IgxNCpOJw5sXd1zlktK5Gq833vw/JZ3y9RjGMhGSdjdpUB1Ny24lFqBGbnP7KCq6e
XYBUIKYSxJQdcyAiUifg0Bv51DojxpBPknuzWLnk3u8T8nlf/7LOVHtTvfPlMadpvL3bmqDbkVkH
pIrWOoRDLp/Y5WbHKX0tix0xW3+Sx6j7crpuz+OiWUd5SJ4UOkgnuVcp4HLx12GqHaAV0nLyEc1D
DHmwbufQNsnoS5Z0PT7mbUjBGUkddft1rG8/IjdqfVoazUkesgpN2amGB6BP/NfvE78fTjc1Ea6J
2qo/zptx8l0Fo4WNBrp5r7njJd8jb0txWvN8FD6n5/LD1YrrCRYdq+O+29mP+YW0416BG0XldDcW
90uxiUWNz2dHD68am/Ac//H7bjq3yUVkSTB1otMyPg36mzA7joWhj5/pfpw9memNlu6LblsocA5v
nHTf64wZCKZX7kh7IWR8n/GnbebzMGO2gOQLtKqrXjm63ta27iKAZx6OxMesgCSE/PQchHyvwD6V
ZxeLK1bsbf8TWEbjF58Q/NqeeuPWUV7bagPkc3ronaMFp0ZdbgD8Fdmz3m6oska7+Buq0s0PTUEj
dzvqj0PsgxwBGDHQ898YqCMpAcQ309g7Kl4UR3QCIjz4UBs0b1wgJt/a9LZTf+TXalBvztapfkNA
7TJvIGdDfNuuJ4qh2/R1OXc7EBCB8dbhAu1XO+WWUi/E9vnV26N3fNTftTtsqI/Zi7qrn5qdu5sP
qHLEN8ZhPKC6tEluHd9GP+6WpLPdqEd3V1xrh/pHQmLZX9Ad66G5UIBKglA5YtJhn40RvfdAI8Lu
dwgzhrsf3QbPi6MVrI94awIOvUNC5WN5j5+Qqjk3Z8r7GAn6xYuQ5iLN/taXO+uiP3Yv5u4Dc+er
4/CK1sy6SfbrPtnygYlDTtXtyUAVZA/mbzF9NfKriiVrJ9z09iWK3M1Lnx6S+H6KfL3BCSqwm0MY
ePBdRf9tRnMRVsLDmu/Mfqu+m9Ud+NDle1QFAE5sY7fCN0aEst0iqziT1qbA0jYQHojr4XmjF41a
W61BEm1f26szpXm+Vnm0t+WDPZ/c0ff85KjhyxY+Gyt4jv0KIRlMFTfHtwGnkDOmzXfACK+jYH7t
cSx4188QPopul3kHep71vFsecuSpPATYDr3nT+ER7HZl3+MVWb6hAq+uwfcewIV+V2aHurpMgfqT
8nm9+n7MSir+0OVefjjv+GONE7isK9h8jor0yjGdtsaN5m2yp2bZXlmPEOqVKy3AKP7Zeo9ZBzvc
MbmTzuF9pO6c72OJ6+U2f/X6HS4GnESTwDyMr8ujV591nGLOxF53+av2gf4VlQn1B6S5/DS+qdyV
kIurLdHPvoQWi9vpUZAxoVXN2wX2KUoNiL09l3vgvoCsnSf7x3hX3LovzXG+xoMJAf26PDP8FZSC
EMN+GKklQ4R4j7bth8fwAZlsb8NqB8UtR8oUnVwDVAuKiyT9W+3aOBl3JV6hs49/9kSD40O9nt6U
n/mt6eNQdkL45CV6zx4bAJwYgA1be9Nvw0v23DxXV+od1YEoiH0Q5/XGvlSHHIDJS340L0/LvfUA
fv42/cDGw4nw9txAGvjEpNk+zUHlN7A6l337rd+Pd/oB94EjGNH2SY934xvZcXakurwxfbDx1dYJ
sPfYDLsBxXO49xvceaCg4lCH36O26+NtxpRNAnE3vtKcw9DB4ysCQtuoZ4rN++jZ1E4QOB7wduGr
g7bdwNbSyX6Be230ANXBO+874pZPs4/i+QFU3d5CknybuDc0WdXOR9tpn++iU0nPaQe5DWzumeGW
BhTpDhGaIc/ch2e4S9qG0tdJiCRENJn26yUFVQ3Xaj/f/QwP0ZnM80BZm4GaZ1v3tj+ox4mZpw0E
3YAZEA88BOF2zQPX9NhfCQmYnV5twcIu0QHoQTTucnWXMqxvvRd6l8sMVmrbGEFobwzufJhCF+eA
ZhNoB2TqKe/sIz/bNvv0+3Rdtd/IvaitR7yiF1jP4KIq7j20Zs+gpI7NOQyKk/1k8pn3dLwOc7a9
cYqtc9XUASIzrCkYOuycbUQ5EiuE1P9YbrKz92beZt+ia3S+f5Ta1rrMeYE16D/rols2FHzkEmkw
bRRj3h8oHp1U02n3sRFegJTjvyMylbAiXzdFbjRMkwFWyB78RHdf7NQltsa4DhVJo64HSMPYsIzi
X+ReJLISuTfR0C8PX7uemqh+mo9Xmdnh8iSek8vs5v/+30bWEMUg77Zxegtwx2Bvsx4wnet8Itrr
kFDF3nAa/tmkNP9OioE1kNyTJzpwV0pFz1JpwA96U2ueonUN4izTjx2VKxcpyu2Ko+rpa3dWqT12
Fh0LsM2d6XcxAeeEKuQ2ckfs8WoHVgEaWPTNDWoQqXwcOpxyELZZsmwBrgjIAU5DQSnUpUAk9/pY
JAW/H6N1SvYRq1dArmF75i0gMuFfo4qNkxDWyr3fxzR8WfdFO9yG6rhLNG5+e+EHJj0h021KrcY7
V1P2eKZEtqqewNgQg9hoE6Vx2+0HEUvLTZ9ZF2itWkCnsEQR5N+bSKSCvx/qEwj/eFRvZJVtFvmI
3GtrrMk2vw+aNj1xYA7xf7B3ZruNc1mWfpVG3/MH5wHoupFIzbIdtsPTDWHHcDjP0+HT90dGZjoy
kF2JAuqmgAYMQbIlmZIocp+91/pWoC8LQBu3sWrO5mFtB3dLS3C9Zi/d4DjV1cMSVaXZ2kOGl3rn
erSmqmlIt7LiNIG1qj43qqbtTIPjcf8EpWs8jvG4TJy8/WcDSXWLfitThDVFEff5JsYpeCKTCBZS
13BU92qW6zqVZw81Y7JQt6w31TEG3UOpxGz60RGteoryCY1oNGuPVUOEEDOA6cQcYAK7Pxl7I3YP
Yl4+8ca0nnNZEUCSTeW8TZZ+HSGZw8YJkXG4EHt5xBI/9I+Lz98NgyqPengpRg16wdA4lEo9I1gJ
Clht2xuHVY/hhPZhWBpxa4tukXghNoYLFi+9Y7NdWi2/msefzWRdH94sy+HAihsAR8BknArZnVn7
RhxZ6w8Uix7fkb6L4DAbz0PraqzcuGAevAR79EHb2FqwtlXXD3i9+LzpdmXMi2RhqFKTrx8vdmWa
ytLRWBjVHonQclwEmy7tnXppOv+6WHrIVtXwSyE0P/ciSpKauBZl1ujQrR3WRCe769dtgl7zYJ2j
/HeP2a7xt6Zsy5/d/1me+VtZyYbIl26dFn3e+h80jNM1msG/jZz89+79f/0ouhj8y3v+4z/+9zVG
nsVPVcW/D+T+9ri/yw3dv5jJaRox9g4AR0Zs/xjIedpftokUS9M/R3EGozhVhe+IAQDOre4xDvzb
KM5Q/9IcRnGk8jGis+ka/1dGcbqu/TGNY85kwetny2wmgqZq8WJ/n4/BFsFQWLXpMRtKgNFj94bp
/QbxoYe7D5oWw0AiroeZmjl1GXkXR0EjGXsWuZoIy42NWaGQc+Rd2hhL7tB864VdeSTb4Z3vNUmj
Wv9jykN0E4xyTilZguR4jz8H5OqXFtUf4hkKoAXl2haJuhTaEt+TdCDFR8pwA75JpbuT6nrpoyFz
fbVxCF+JWPh2xs9GR3s/WeJsjjm42rteyDlQq/Ytr8W4yKqdnUxwDtGEi/pvABajbeeaD/aCIVu9
H4YAaBvOGZCAcD7kuCsm5kWIP5oIe1KMUF4jbzlJBwyaSlHsEhz2HknwN0j70zvkMED456HdxxPD
wzlT5UnLxTcFYPTJzDvjsQPtxSwnfI2MJL7xyiG6wVEc+52GusSZQnlBezfCgEPojHLuaOaGGQPx
qbBBJIoSgD0xWKnA90yntveb2GHj6FDBGY8OLjSTTSyz7qqn+VV6mICsdLjSL28OZVrt8zAe7+ix
Prgk2FOupemDq35MQ3kcomL40bAwndvwdQTPvWQuT1sF/y+AdmpODGl1HM+7sYSRHU+kjqW2/lSE
rglYVD5qVYERum14orJmersAzMOB6tMazu44Tnfzauk3Irkvp7Q8zqwzrFnJYDGjK214YvLLjCAu
m3eIz9v13nKJSitn7zzF93mYnd0QyOPq9FB5wiSvKfpUcCYjziJslUlJpUSgomxSqIF6A0+ZF6nS
N8N/GZ0dV9DF6+JvQ2QlCH64UKPxbxfk3qS/3Vz/ut5vvcu/urn+ITQTdY+8/rLeUmzQCqDp6Qok
fV9u/vgf6/NV61/Wq3Nuerta2Pd/bIaZcFLYzP1zbbT08v55Q9fntNirN2FXIx9aXsH/c/PWx65/
5TSqBa4aR2jHeMTnH9abIhG0Sdarv23fr3sq85NlZ4CURSphb/7jjr9dXe+4/psZlxX8VBIA9bzc
Rm6pXtaLVtM7P5vdDs0Z4o9RsPI1iYvw1+GT5RF4aYjpscgvdjqkv10o0kwvjp7xO6WmPMzMxodU
jtlwNLUdYdBOPb6uj1l/27uz3BiuPgeDME/W2D4jsWHlpeuigftWtwciVCIFGeRUskD1sNxoag6D
oBuVy3rNiHJEgCEJDJ0+defMYWDnjfOxAa4XMIJdktIAlmoHGzXTBf2ncQHizjWgOBcTxg9iNZwp
2TPsD2O//l3vdPvgtAOZOYo8F4rFW40aejdUo3kRwjYv67Uug0vUSoIacHm1CG0BI5iXWU+siygU
kOEq7+Hn75wIi3Sv0npe7iGb8FsDCN3PUuNAmAE0tbywz9FIfaBFKcvg5X2fp8gg3LNyG1ydAF6Y
+CewSCqa+NDGXJV0Ge61Xqh2pv26ZrhRsq/G9EW3SQaRSfYOaiTfGzm5mvCKAPI5/UF3PevcokZt
pVpTfgJ90gB6hGbxjVAUorFp0O7InqquuNefiqqz9zgi8l1bI+NF3EImRE8KmjGX08VhXHCRSYSV
Li9B4crpUi4XOO3xqmsNncLlHnpzh6jUOOcc6U9EFt1Ed/EIM08JgT2qA+EYEyDsSBbRJVkucIAb
pxZgjUovOsgMxXdbluiFwxMSXA41Nk7LK7Zv20CWhe5OHVEvNK3V7EactBdFavOFcID50iY5OXpV
eKKk/dvv51HU+ADdZLfeLVn2/PXaR22e0N2UyMyPo+JGOwS4HKdqPoLCo2xc4sRvC1MdjlUHb051
G6DBA3z/ockuoceWiFlJDgMCKmIiBpOwEY4bF/D42lHm48Es0VKT9Z2S1FQBnTIUYe0rw3pad6zG
AHvCCIba2g2zKwOW/Dq39DlbUzYI97hpKm27kyaqfyro/NoREOHD2u2x+7D6wVu6iROBHyy/a/qs
C6AkERcLf4jlSYvAPamyY5/KdjspLfHG+JRuHSvfl4aRPcdKwTA/TEgKi7TDOmaa1jBTjMLAfJdV
EUpHZvIh7SfRjEhJxgpRXodhcvM5MFuv/frlOkBbb68PTFZVyXr7j7uvN3U+HiI3+9v1Xzs6YJkq
xsf3xwN+e+pfV0G8fm0Jo92Vn1uy/r/13895zubRNAedaBMu/ttG/Hb/BuzeVheFwP61FOT426nF
lwt3GV993kyXIv2P361/7QczwgMWMWfY6wrxVk2o2uBFnBujrwNFkvdehglfOPsDy8NHF4raV/P6
w56dN8QCA/zHBKoUWdr7ZH6xsPdOvK/02my+QOTIbykEdX9KzL2pa2QPhqnDKhHm5ED7RelMQuXm
uNq1WSaPeaU9I6s+2rTgYzK9zJmuqR5pAsRRdT8QmxoV8h6t0bTBPMVrVqJbpQq0PjX9lPmsX5Ua
c0eSx7EijoEtcm1rumXMUWJO8FVZF1LC6JHQZ3To3GnayUswjc44G44ZqQ6qOdiYOHn60qYl7GC1
Zij2MhYJDeyIMAFSQvMmV6+OTq5V3bWPmrlJi/AZbtaC2rW7g13iC4ASDbVjdm+SstmlJMpso1x5
y6t8wNpowTKc3EMdpbrfWhqkUpIffBdxxqXPOdVyINyoqo22s6SNlKiwWfCgFUPrHQGrtsRM4pnA
fHtMOxIp1BF3Q1gvxFdDbPU4yny9Rs4K6EGnkDRIVRwkzheVQLO6xSsKQw9RSTdtam+qfbzSz5lG
BUZeHfNXw/mi8Dk0MaxJ2GYxkwMmEYnVonGKSHMgAv29GlpGEtYesxzONuN7bJXRLldBlUyJL8zq
KrHN74m3erEFKYJ2uGQaSrCaEst/mOUNoSlp5scKYHf0T48VKWAEASTVrpvtN7SagljPBnoWuye1
mH0nLTAKgNDeiienz+gjZui0lZLZitq/tDb4EG9yPkZHZWY0wTbuCFapbCTVHsYidwRgoI+YrMUk
mGlA1CFf9Q0Nd+R7V8cd7yp8JUEIyf+oSQzGIxNPrB/bLLHMrds9z3P4I+q9A2w4+kjIa9W4txkK
GIfFU3ttCjFt1LM2D9m1Y3fsYk/1x9Fj0YCvgLVHucmsCvEKFtGo3UHLZnJR/nTMhkZm2KtnGXH3
4r0swthvVYKqLeyyMic9JLEvuDyia4G0H68BZzd72nYF0xkvht1gNN7ZAMdoEpBIxLfxBgJDfrHp
qzZR2lzjkX3JteFle3icrY4d1K2IsVKGh7w/kSSjbRjvUj4TB7SxQvABtrkck72vXqT0QW1OzHES
AqdCg+ZWxmzI4I6q5TLoSnIIZBx0/FRMl3R0lsa3t4/gAiSeywRGfNVqhxlYw1cqFIehUY0DCWuH
qLfjk1OiQS4coj2K2vfUU6N3WVBq5a0j2UaLHLHCEhskpgghRdIfemM8kCfYGyFVdmaSWqQeBkyU
T57VfbWN+H0Ceg+wjGgb0P7GPutv6iWKWOk4rFhxSgXiEqUIKlLxpbQcsDLe16k1npK07fyhQvsm
GmJRyHK3ob96MwRaqjBCY0jfC3PWgBhyzHOS3tpLuksdgSeI6SxuK9C2cHdIVIsZy3jiJYS0dRzb
6WXEuhS4Izbu2HEZ8FWvblfcWkhGgy7rIl8bO/1gT+AgpqjJ4L11MBoS3c8l251UrQHJLI+D3FuE
kZG6s0T6ZGWOEugRKAAdcRttMd6fXhJ4byTK3ssanFxqVOGjFmC2wva6lDho+BkmZtmeBitEwa61
T7EdgfQTyKtVOft9pVxnWNUhh/1UIXaqK0kNHcV9aHvuuewHhFMO+yN4wi26atW3wRxtCuHeKVTy
BVin7fTuAo5GFOd6B4tjCJ6LmEKKrFtNpZSHCXaqoEGStvBTBwl4iJ28ASghCqBzNa+9Z1I6dBmL
cN5aXSPfKMNq4iz5bnwaiQVdzYir78K6JN2Hu7jrzWkJeomnN1as2LIGDf3JzLHKjUptKe3Cwwxw
cgsenj3YAITmJFsd746vmDbP2qpk7NBn1Dx7OHYe2PMxxWA7O6/F0ECCMMHzgISmV7YkkndoF7Wi
6YIshGNF/TQLKAJ4/6JAMTv8/DlINUTPAUwGfIaK+V0wQ5/D8KFdutrijizl8BxKQW9NmD8jWhg4
4eP+YBAmBlrvxJEKYa/3ajTNsckilumK+aYrTXKSCNh6FSxnVr9CUGNo03U/q1j025w3esNxFTb0
shyN9PEaKRFxPFn82EDNJvoOBv2wTJ3U/BusY9hvoEw00PGQOPLkMBYMKFyiLhNGzZBPjdTwzQx7
oRx6v/S0GJN2U+AxBt2iFbjUQNwYbn6rxu49VoSrUO8Z9V9VZuw1DFmagoLs54IUo1I1X4WePY0W
H4NNkqg34WbJxJM1D/a+wIe/H4r7ipVnbYUx1WZVwkck4jx1gT9qJhlaISP3wn4z874DHe0dEsJe
iLf8pidlCQli7LZeHZ9JBoVniHHaH1AOp4Rv9fZd25LMphgRYaWug2NBq3Z3FYk6gVvbD3CEvqQF
Xz8lIiEmLdrvWSEOY5yZe3Qj32ycGvem8sPNh0PfCg8oO3mgM6shwsr2Rs3w2RpemoTCwpV3oy6o
/HPxXgAj2gJqGzZ5JCiR0RV32P4rc8fbTii73uT+XMU/xtp8tQlBgxDJYTypwjTAP0uHNjxnJX0t
tEJ8iIpDeizRJ5wYmecRYAPfrnzvchcMtt3HJNxEr05svRMAQ8bzRGNLR40dFTRtxNcqh78xozpO
Tdnvett9me1KO5SRcgj1+bYs+VxJzWb6UYLntpj/gvLF0SaTA0PXLpru6b0vpMFvNgmyDejvuuJZ
lYNUi7euJr7F6hSOiQOa6qS5GdwkPrbRABA2JYKzNuV8M5BqtqasFPRoCjW9l2PxplgVE/GOqcYg
mz3uIotOnGBkBkpoLbn0FGmB2XCC1hJWp9my9p0tryYQE85BLfam5u6K0briO8NyWyuYfi3yEW27
XnKYdjB9OH6oDUyTFGhOOz8jfK02A8GqxqS226yrvFvpSkhZlnEenPQQY7jbmiPJSXXjzftpQH/R
NiEe0OkWjqPF6GE35ZDBxi41d+6MtzLPo+e+FyY2FPOh6NUnGTXG3o1Ywif9VctK4yyMk2Wo4/Et
TecQdGnD28y0gRr0rE9jcZ50K0c0UL94DJj2ueX8ULryh9A5bIY2s9UqgscRtWWCJkMvd1l4U3rm
eCtzWh2KF27t0mT1GbmYBNwjbEv3AOCFMsJN5iXiu7s0X4gPVP04TjQ/c8sZ665509UjRI7alX5Z
zTYjx+jrwVDLt8oOBGTjozJCWjSFFqi5N0HKWpbsjrUvl6i2nNyiLefJkPo6POBqFbejgb2KcPM2
b+yHuDd/6rk6bKaYaAa9Y2zKoRiacqK2F+q6MtU+IoqmPpzSoHIaeFe1gxKCReluE5vTfO0hr9V8
+0+x2dJ34KXLZNqPvQPlB0FPqufguOaWetoATAiXz7XQYMzNFBT5GB+J37mqivhalDWBQ7NLPgbW
ZwZ++atiyYduwM1pT7WKnQm+BI78o92Se4BnUP/GUFHxLX0mY9zQn0bJvGqWCPkbwyWS7jbD2L+R
WsFZtz97Sc9JEXxwJ6qboR0kYhvmfKZVmoFR1Rcd91KfMEIXs+fLCZHNSBrvxkoT9sP6btCje9Uz
c99lWrKFvAwY+WJrxcA8aO637TQHuY4hLF9gRI5HVJnIPRYvxKKEikeOiNk/t2EbaN24fBSscEKL
EPkFsjpWya2dYxOfMW6mwrqDPHC28u6qRWwORdWV98lkuHWrRya2484l/L21/KlsnyrSotLKfKoN
AtKzzhv8QknvM63HwV5JK8gCLR4xE75lmGi3sZMNPjnN+xL7OK2NvZzG+zgJ3UOlRFfVrZ3z3Ce2
v8F8nJzIwJKpvkM/XwDX1McdtqF+YzekicJmu+n74iZrkUcsmUxVJVnNAcc+tHT5o9046C8eEZSk
z+VRUBn6zVSo6J+WyASzFG7gKfr3ikEksUcRcdg0/yukdd5swQCtjs3E0zlRdcZL6B7yEPCJsLyn
gd71sx111Wla5MIQ+Qta69+N7KGvU+kbAv5M56b3sV7FgWyInsw5OfiV+LFkypAO2uOD7BnPI5JR
ndwKXAaoQdhkcTBqRcGnWOS7sogPU85J0U6AXitLC6s7gArKA1Y9DL2pic2c2Nra9rqgn8pD2C7q
Yg4dYc3sdIiQ+prhrXDMa5q4w449Ga/rND5Ckrlr3NbdhlKBLespj44nUK6pOFbT9rhkyHpzT3XU
HQlqPsyRPLslykksxDmnVv0yZ7ZDioDJtLVtNFbQukWZT4tUuLOzZ1l5NDvxk5F0dogLx+dIHmP1
6TFYOpQb5uyd6h4phWlzDB44F+J1TKHGeCD3+7J7TFqiiduIRU+e6No5H5ojswbGFCowB+Ggjun6
XS2TR802Ck7h3f1EDFAgBthAbW/TiwPPtWFbB8ct/Dbk9N47p6Fvi50De31nFS45F+xQmlEdHB3x
i/AsGTixmQdyhCvekE8GdyDcDh4m8J6zZQ3eHc6Q9cNR9fhcjeI1Tg4uo1ROdmaC+d9660gkJf52
YIkBATF2nHcpKlicWU8dTCh838gbj37zVrQJ0Y9onVXcMlveMZY2hk189XgYJvsRFYbiaz0AvKpT
yS/i0I+z/lWIiVKlcJ9E2PS8x0z5dU+pt0bP4lktIB4wJkcPHH2ptPlI/cbwSFXB4ddvBvN2rX1q
MsgvYCTK6xwrko/oJZVQakSjfDQ0KTR1Mi6tVtcBKxKnwoiS1869kpGfTvf91BVTRRtQhrQhzB/e
LJ6QIxM8HKFA4TsUb3RjfC+rNt9FavIEdFVgyrk2UVHexVlKwi61eVA0TwWiec4nNHIcJdt1Zr2z
MpXzx1RomzQHBV/PargfxvzREGEfTMTJw78rnluDHvAMW2tO5+8sBWcLWnrB0KiS2ZeIT4wed8J5
/s4YKaE7lR7ERMpI79lfzBoeGYDpIR8eG2V0Asdm5KF11UwiMOJFTwwB8sKQiF6lXpSCOBf92bCb
Lakujxkrs6Nmevf9rJ8KZ9rHrn5t1DDZM/+rqORZq8ZPNI3yHcPJJ7qi5cY0u/tu+ZLSjyRUPlO2
RWaexk7EZ5gO6cc8NMuuhvxJGyVjOiP0SDUDT9crUCwiE1DCfHChS2BTc+SSFJ0Hi7txrzpQeRLz
CZkrcDwLtY8dzT9nQBNBp2B5rl11W38LxbA3ovEBMh4koum7NfdkzkjlhJrhJZwwsBclCP6IkDtg
fN7PvHdgedfW22xk2oHTJvzvDBcLw5NbdosuyCWxIagbqg1W4Qh4O2dH+L3QATxCbeuPrBWXxq0e
jYEw5DhsYbxWGq3o9Iuqmo9jNrF7tW1Oz955rnVosAn+ZBJqA0cVrIHnD80stWCqm3PUeGQAWiwV
RWPqAPiLIDPt5AL7feMQxUJwUHlbsYvwvUb+mI0ionucvTSGUQVRpRlbTrZEt+gA3+ixKLCoPO+Q
9xU80Tw8CUcejcahtEaiJczvOOYfm6y/xd5gbcp0ei9QLSP2dTGhGSTKdu2V9qSviBZ/BImB7UdS
E+tcGwZYtyKoJmavWtxHG0Nt1aM9fafGTB4cm2mj1Q/n2S2P2LjpAlYei/IxGJAIpZbFoi3G3S7o
gm26bCDuNXZ+zMMMEdJEN+pQkddtS+eluNM9Bs+RqUg/akY2jSN25Q7ujWeU2sFKePloZr6nAne8
1mTfu5QReFT3oe9YxMjKPmRwRXmJbFJJNpPSD+iogboqS7yRDQocMGS+A/RxVW3ZHHFlM0Id3X3l
ij1foI2WIMTGoh4fFXjybgy5HgQVu0Ytv8quJRhJ17IdwSXHLq4T/IWJ7+UoZcbShSALhHlTkha7
GQotvpjKtU0GpipNfmsm7UUWNA8RvpR7h9bxCZwPuyMmoHC0AhIwmT8ATogpX62M8XivmEiKxzsF
owC0WyqSokvhtyScM8emCfqx6/02V3Z1oo3Ijsm5KDXvrsvUV9tamKpRuUNc7V0M+2sGv3iTtcvy
KHGxeqi9z/Fpn6vFOyur66we9Vlxb8fau5lkFdIWVN66il7YQKdgL11EgEbWXhU7gtju4ViUlo3D
MiK/0ipuhuJ7LEmQtsaj3nLexAm/dQZI2YNnfouXSKmofDCyu7GXi1RdoZ6FgxiQvewEMLhCgKiS
UF66DIpy7xoHgASsQzUUelaa+zSB6Jurdy7d0n1BtgM71EhRnxnX2LQfHRR7ltv1+0ZmjV8Ns7Ot
44xQ84jewHSxQ9qdQ2+VvlEhQ3bl2UpwvleTMxzjbLrqLmH2lUnr0YrLrYrxmBUkJfoUB0ZcfJlT
/Z3ZlL5xjvAiJngXiHm1FEVUTfgGTYKPJvLEPcfmn9CyaaKAfIfGqw+7jIUSKdTHGA3aXZyXF1xb
m7QTiNd7cWpD7G0aaZIHvGJ3TP7JbUwgGSUJmQZqaNPIyWhUDzWeRVF4V3iNzxFGpGDuUt7gtEeD
1U02nfToiUqEMAJ2al1Vt1Gdxce5paUqFaLg2l3YmsOLI+09vh441q2ZbU0bqbpUSzS2YB63YeP0
e8Cu8wmCPW2EQfR7zuILy2B6d9gTGEgcOjUa2D9a9A5mJra2frGMUdvAeP7aL3Oi1Vm8SuusfGTw
+Hl7vdb8w338S4O3PMRdPUWft9drn49bnzZmig1COVb5KuD1K6D0LEFhIC8UV39Y7/LraX7913/5
lO5ia1Rlq/u/7rT+H86GDKE///mvRzpJce5K0uYY+LKmDMPDkEKT3q7/6HP7fj1P0WkX1VNRra6v
eP1z0/Rn1kzx36SGf7zMX3dcX0m7GhbDIVifOqL1RGbOcvdfm7QIFT/fuPV3EXpL4gBDCf6dv36+
o6qlFfvYICSzIchxgJhIpCqgqIRoDr1R/Ei1Sx9xTUPzDmYtmUWsXAbOmJOus5JMOenqGgq1gUUx
NfOXG9uwVSK+dO+YGMke8gCBE6jgqNj6rxlHuAS0i6mJbyz5BYEHCbxYCvwgsSWHeURyo8f4njQm
JSSSZZJII+2i+Or19UEa6FksYD8DRKFCRWAC/cXq0xtVXUYmpEpspOIU0FcvpMSchzr5towwGgnk
Pemra2XM72mLrhrD/IV4sL2HlmRDieFYO/LSbowcXEA2a5yfwGX47dBh1eB8MubhnWpwQE0cFAKG
FbPXj8Dj54r08IgC0Lu1QYwzK+q3M7J7DPSnpo7yIDbwGsT2vmcWvykgg00xMGXbhmdU5foZy97H
3PD2loy4jMoJhDoVdAxbDBH4RgT4Qp8ExwGP/XTkxHZQKhxSiy8oAuts0MuTo/KCTgcBtD5dkOZs
DXq2a8Y0CW3NvoJSFUSRsbNa+Yosh5VDtwMSIhB4JTtzasMgJiuB0rp6yjNSOjDU+0Mtv49O3rFA
NDlwG8RSLilqFNldHgzzSyT0xzKjvK04kvnoK2FsPvcIaiGSRcCNFlAPvkIltg7jgiErNHISsJjX
FH7wpHPP3ddqxfOl5zCMNZ+ooXZr4jTf9h1H0wFs/6Z3NO3YjSuyvn+pR7wNhJsQr0FdYVfJlmHP
65zpGxppDuOo5kP6os8+JCe1QEHisesK5N4kQ1ychlRR03qoaXHWUyN2usNUHhTLDYexJXsHrXun
KFvSCNn42sOCFX6pWgTnSODKYGrtp9HAN+BiOiiUrN51Eoc2JwQCPOeN15e33ew9tTOe87R7z6f4
DgVt6ZtR/6pOvQ14BmRm2DnObtU8rfEMv6kP/wXwYsF0/I7XYI5r6xYACdc0KJXQ9f2zoC8KobHE
Pc0pKRm65AQ3n5yUyUKsZXeZirpjibFEjW0ESo6eXukiRMOCrnDelxoo6CM8rD0zFLxIQvRnLVe8
L+a0ZDU7+W3KjlA67QOHAvFvSB3aArf4jQuybritsjsYrmVggvxjw+e4aGxJj/bIIDg9KraFXIN2
3mZymJz1SUdrMHGZ6WfRLYHB8UkaXvnvtuFfvHn0P2xDW6SQLlXeP795cR0n9hTlJPH1nbytMv2Y
akl0pPLTtt7sKIeSYLJdyOpAqSkZevVk35KuWr3+5x/iykD5471AKmp6kC6Bgtj2H/nAaSml2aSO
wPgVgsfDFnjsO8bzKgfBsU1ehlmU+zKzHzVX1Fc3hbcV02wZKvNYha1yHbyuvlDQQzhxxytBqKSl
5hlndC0aA1NwmEYRql1DR5zJrjoBvQampJDlWTnMwxuFmXSRkS9WQkK03WE4TGWNZbJ0LutFvFzr
svnlP3/Z/2LfXXiXpuY4mqu6jrN8PL/BWnq1c6NuiMTR1nRyetqKhDMvlYEmnF1l6dvInHE71tg0
5DAfLJ0wrqlgvp/NlO3TpcjFcMjV0TxoVj4cQzOKYU/DWANfPuyzOdIPPcn2fVgau3XL/788+lFW
iJzfvwMcQoXAzP5b94fM+d+xWFuUy82f2ujlQX/XRnt/kUHrmY5uL0euT2G09RcB9zrJYr9DitS/
bBBGHCYcVvCoOXmevyujbUTTJjR/7gCnCLrRf00Zrf9xPMLR7+iw9yyLg6hjMBb+552x0eyk7msR
nUBmb11T0Bsquv3q01itDzLNrL2Vhvv11nqB8iloVDU5qDKtjoP2faV0rBduKUFUr1dVVvtbtZtv
0jj32UlpeHWZfUBG9taphFd6omgu5C/4kZH/sFuEkBwar2pNWT/QsJfLfKBBs8jDkwsdCV9Muj/Y
vXYb5nW8petdX9QigpGBPbVgkRdIjRMb0ZIPOIUZsc/zue9ZPdup7R1x1dMGdQn6Jv4JaXGN/1kD
mOwtOjJ9Sm/TNLBH57RMaJ7VCSCRHOFrZpcy5cFF+AHM0yZoK7zMuKZZmu/sltaeTXSmXzL3xxAo
Cx8ZOQ6uhZWiEwa5CcNqCCYFLyzRTcYhOg4N2d5LrO7WhQ6kK4DqDbIA4hY6SubBAB3EtNf08HYS
0buGdm/TNxDZpkr9YeiPXqtBbJMFUdCKJNYCrviGk6SymV1GfaVZiyBbmrHV8JV2ICLw0GoCV5e7
vjzjkkn3iUh+2olznyIePRId5McDkcKd4aCfFnduJY+dRjz7EkEqUqSpJqIYTe8Hor0CIlCiW0H3
OQ5Up1zkAyvXtvJtOYbXMaSeiXQRBoxc7hzF0Vh6Q8GFLoAKhBF6rNF+G1K22Jl5P0hweZwLHOax
Ng4nlixgXO4TrZ/fW3031eMP2DLhkRw/lo426TuyyWCtqAwJyuzBwq1MWJm6LQs4fHVHb8UjE2XD
QXsKZocQMBcA5i7vQE/ECtjASMlO8/RFukV0yCrUCaljPnp5A6IIE7Q5uNcFygjX0jk7NQnUwjJ+
DDP+vx7dpT9qfLyKpdzFA5vJyoE5zX5SeXVNRi/XaVp75/UOre10QMlkOoQ3VgwCCcyV+AJlHKSN
9mWeNQbWiR49ugoBthIfll4bKKMyldKs65RbVefNTMHx0op4nXqLIQH45m22dB80G/+yRFvUkiRM
3bgREPr3Qz1FuBnpJWRfZJR5S9SVvJ2Z36CisL7SyWDrdeukJmO+LQ0VsD4Ne0XXtp1hNPe2SAw+
tHobdXzPXOR/R4b98r6C7Nm75vcs1PK3qMXuZp17E7i5ZKaioWU2tZnlPRnwc/GqFb3mh3FsHqI4
xN5Q3otKxrvSbA+eURAIpvSYmIj70A25p6DJd4RGGnvAnp478ulFykSYKgGwXlTSa5H6TmMCNsSA
keOsuimxHHU1PgUQIsp+LLdDQ8KauDMme6db9s42gRfl9IYoi5dBB2Eo+w7RQeXojAsW6G5FUis6
JqarFMJVltPaMMG3GN6RKND0qmvxLUquMjC3cWyMN7n82kG02ONDIobDPei5Ih4M7n5N3IRFl/vq
DC4e8L72NcW5EFp/N+XsyKAfh3OlWx8qc754Lqu93fIZX2KSxVgOoTgBe+IdRfw1HpEY9GkT7UTe
fgk1mv84xoWgZkFQgk+7wImc9QqMVchEyEPuKAPm26FtX5Qhek5MQmVak/Svua1LcmTdHUJEn9H9
B3oBevR2tkP4HOgCN7YAqQhfWH0XNLwYBYR5DGiZhVxAZ/5nhOOxh7AcpjK80RGSbEZGQrSQWBY0
k2Nj05ojX1eRlIeohbb1/2XvPJbjZtYt+yr9AjgNk3DT8oZFbzVBUCKVCZvw7unvQunvo3s6OqKj
5z2pKFIiWWTBfGbvtetWEHm56ruigujJqqVFd73O/AE5WnwgPc7ficw6z7N358RRye4OckvaNT9F
zhpdh+F3XIn3rkrqo10g3Gf5dWdNDhyyca5guJnl3hmgCgiRbAoubZuJBHLFyBse7PQ5iYmBazkf
ot5vDmau+y3q/4sjnTMTGIc7EarqmCFaBRhmF6T5ya5ReGWxfU8YVO1Eh8Q39b5kq4oona6olNMt
HVo7v/ojTWvUmBgK5uBrwLqpbW4ROEVuYCSR8iurQ6Kzr6qPfyWwj85Rz7RZG0W/U9Ob36bBtp6w
5brByJOW+BN3/qzjmvOlZkzRWEjWSsZJq9JOXQJZsuGQmsPvadR6a6XiMjRkh8WtucmSsVr3Bey9
YqyrI7eWB1M8VVq7X/7w6sXZe+vjcBni0EVSx11ToG5YZ+bw3YZ5/1Ak/SPL2oCgJZqZwgnPzUyn
LCzzR1zf0HFc0DycTOCAI510PebIsiIgLJ5ct2VWLlk9ISkV6HfCkr9S2/e/cvdN5lI+mYrIhqbh
qpLfTiHaN3MmNH0MzVeneeicOtt6uE9XcQjFYcShtAp/WsGM8gnbjAyQ4kygkE2dp7e2UlyYQaq3
zBR3S1yqGGXD6VdZpNpVP4wJf5OT2aSTQPPemXTbRF0jrFHe+MIy4z2Ggg3pnHZ6QCbI8QGcx3a2
2mw/WprF9exJDO6WP6zbLNkRu7LzHZJDy4yUB9eaJYNecuAnKsE18qN3xwcC7HrGF0NR9CwuVvEa
4vmG7A6SW8Kquo3ZgiIjieLLAHzLHXDp43u619aQH2XB2+qDDeqKZZqekD7oYWwiMqY/uQJKq9+z
LElLl96TYiOrliVowwKLe+2dWykgKDW5fci+T6ad0YQ5pA1KkAMoGCrwgs2hqiWpcahRd742X5k6
vDtYogtiQbamw9KRiFjCNlLnF5bjDTvvW6Mhjo018L4orWxtIxVGP+gf/c54pM25HziM1m5zRvjK
aRw3xq8Q/6sYjOfQTO5gz0oE9aRLYG9p5/YUxvEEdIqg3maa39OSk1fYSKWkxLxfFs07dx2XzJQ6
2owBNzPfxfVQmzMgewKPO4cwMS6b8k6Tj9PADWbEWpwMKMsrU1unos2AOhhFQ+bmskxvfkQzusN6
8uNT7VrfcUudEUGRTYwq2bu+JEiQDh70tXl0we9u3ZxIwioo8NfhTby3liBNw81eRja8y/wBq7Nt
RrdsRuZtG0Lq9f05vYHijLyDWmGt3g3LeedVTusGXhITBEO+Ni68bT/cC+k7+w7ujlfrgrbRVAQk
usmJ02sZZWMBxsx1NLG5rBHjoOfOWcEPgXMjsKWtAoCSB04kg/V/SkU62OkDAbJMTZh4mVAv0twC
MGhJ6lAPwRo7+sZyD03vWPR21m0SxvbZHKNsM7jiqw5CffCQkc4uFQtZ1hyfBPMMZkK+O6FfOB9O
Rp9D9h0668jNmyPDaTeVzQw8CIOC0uzA9k2dQ2fGit5VFDCG/b2EeJLRigaOTetmvPKAU/htctzI
oif2ZSCwpMRuwz1HkYMp3a2DwBFa77ydyLBGpcSlM/NDMhWbO6cUP0abYyUW9XkOcyhxqfujCLBZ
kLDcPzMUNzc2eHHMj3xYsfVZ9QlnIz4k7iCkNiUdxenkuseWk2MDfpxk6kw/mbUgF86P55vBXK7f
WRisS1H2e9+rweIP+rFyXMayKfDfvq9ec9mcRq8ELVy1E8VxgyvOLC5JS8HuuqohYm1TVQ+GOZSb
rPDVzk1nWAW0KY1XJWev8O8teox1RLjq1uEtzxOu3HkZRxyE+hXckHeZo/jOyee30hANN2FDnIGh
SMAPQaMPwYC7yvdcgx1hum8iVKAh5gbcT+nPMQGBnCk0px428k0W2mdhtd4NhchdqHqkN2HugUWZ
2N0ThQhK8eIRfHbXVDdy9Kpt2jh7xir0Hz46Wtj+bwjAqaqxh07g44+1qZ+wdUdbSzmI7VCDtTCY
b4Z0Brqc1nvh883Z2tuB/Tja3UcTh0db+R+T1gxGU4WGSiOw1rZcJwgT1qOFjyBMnF1fKtbeseKV
XmryzG9Ni18kIA7elTOHWdNsZ/kDOc8Ey4n0GToYGof3OhDJvrG5rdptv+fS+ItEKPGQWfm5Bpm9
ol46Ou2Yr+uy8E7CLQ/ypLBN7JXsf7l+EFzQN5LBpxKAISJ6MpL+i0wLeGRu3KLuf+yRhL4q1yPe
R301xmjuuqqGdTQnZ/a2Z3uCpzRWMPg/QmYmDLPuzDkkUZIhi+5hiVG7wsmt+2Bdze8979rnlCAV
G9Pit9yaSX/hPV/iTC10FRX6n9bnnFaAIezetncZrhJmozsm+hxK7tE3wYFktS2J5I4PZdBJoOWw
Pdhk/7I9VoqDYTMg9bgyVn3zIkscEC4xzhYnqSrqcGNPHEdz+Oir7qaQRgxfZuY+4AdHLaxpL4Lm
0TBxFIdjKD7zxN3qBLZcYhRfdhKvvd7i1CYBlQq3QD2ScybTA2/lkLKrHPHnxXd1a2fPLfawFUmR
LG4sA8zf2JPda0fYUxx3WxcmtTJ/lzVReyCHGF+j+rL0PvURrE3NXekxZIqRatHuy71pYgZMR0RV
ObfVSbd34zB/OGV+P5p2d0M+oL2L7ZZ6thHrTBdLYdUUMODBIHFPZg2Avhou5oPdk9iODeE19xdM
GM39iOtgV7sT4hBWkGNfejum2+O+yyW+G89+w36cblU0DEcjA/oRWr+aIMg4T/PfCboSVSfxxer7
O5tmmyozNRi02lDcov45TC3vXIt23qh02X47BA5QF9wU9kAxllcZy4CI0lLLS1k238jAvC1Cpy0K
efSI/LETx8i2aWCZGzIHik1YlNWlghczDvVr7ct4S7rksBuF5+wss7cuyCLqlq1jX4UagwWq/swX
Wwa1q7iJ32qvhmtloIQ2TPtJtfgvYLLCi/VxDvk+tY5BieUbzUry2njb+u8mtl6aUYojbDynlmcz
EjHFHC2MuSWZzlCbrOdiUoYdNho7fRSTONtiqnYDySBbZhAYWCMUJtZYwAJKmxMqPpQQqUlzromO
MlI2zWVrrzy3eLF1/D3bfLvcmWiPHU7+kRVEkHzatpswcWhvJEsmyIicbUg8LZS2pbglOhssRnTw
SEFbFRRvlX+VevErFJI1fVmZbwS99aqUFPcTeX9VfWcEgIJSWJNRgIrM6u4Lz7ZPlWnA/CGKJl9d
P57JdD9dn10fSsSKHSS5wGvQQxsPVa2RGxgK99XyULmVddLLw/VDLt7W2rQHUrUIuTuVy4PKBsHt
qFa3nucle1sodLRZeI/3Jzpef1qzvITrQ4kG4wQz9++LMFtgbW4G7m4kL51/4+H67P/0YTPUK10Y
zdFfXptJCM6p8T+1CXzl+sH108AF0aP29bdZW+zdUZehs5wpnJYXe33m9PFdRpm/6yDy53/+1WDp
y2Evj4QU2adcdgiTlmdOUoi1ZVvpWnRJcELK0C/bN5/YAnXftngx/dYGPWeYLXK0Yltx4Tnp5eH6
LGQ+9+cZ6Pvy+j9aCgB7a9dYirwBPQ7VbHtiZtKenEZ2ODBJFWWzgBR8XoQizvJ14wgOsOVtQk0J
YKGXG11U/WlG+PnnYbwiSP5+sueOwlHCioRe996o0wG6tA95c3kWLg9/P1dQrR8KRFveGA2n1rP+
ecgMCE1pED+PRFjsMt96lAQfYQmCP9QrNvNlB/TFHiE1/n24MhspsgEehmRmBqZsENt6YM9AxZCn
mZaHaSEdZwtuxadG54BGNyVqeIJFjk6TwgtZ4vKhkZrWhpXuorBjQpjk3nBKOROPlvfBEmoA3COL
faXim9HRw6lfHq6fD3SK3jKNexx1weyi+S+WCnjqevCctPBVBs0oNNIWG2D+YSWXK2U1Hd2sOZRx
AtrIDxJUUQPhgbJsT38fMvzgp5TsmZ0ei4fr5/n5ySkM8QLOgwnXAiL1vNCqy8JUTPHgOU04HfZS
kxYIUgNzgcIjAkzy9PehWH5oI1p0fNdP3jvLd7AQY4CL5htWy6vopsykhl4+ro2pQ/7m1wgr9DOw
S2pVEWKsxM4hye5u/QF1qEmbVBQQmQI56p1qX0PUyGxFgWspS/zoxwVGlg7MRQgqtCums37iHIfU
uES4CIPaV6zXF8142gLEJypoPegKpYsbfQS+fpCq3vdm7+66xHqqnPBtyouBGJedESdqryt06xOA
DGFV7UW1ApiE530lxhMAk2o7LnQizw1eJ8JwnURku45qHSPJEO7yib3DmO0DzmOwWVDN7Ow2MwTy
dLkyF3sMDiOahkMiInvjBSfDzpOtdrJXGbAaFyDqUmxKbRcu4iWJWKvOnnQZOMi229+UdN2xc6lK
jfQ1TkVF4jXXS1Sz2eRuhMsh6C3jcjaSK+xKPQlmfneXaL5tYARQKSQG8RHzQU7y1y6pC29FNDDI
XnLeO+erdYYVWm36CQ+JSmIbH8LkuNCT53NqFWtC3aNNP6CHJ3Dh08hem9yfN27tGaswo+Gyg3JF
qKqx04N/bMKELVyCHjgln+niF/UxTfrXsOgvfa2nU6Vpz7AaQF1qqu6+gTLZGM5LhXVDdxTL+WC8
EWL+bJD2QcrO0mUW/d6CzgB5AVebW2z1B2Fi7QrqzC475UX9FrtZh+/JY7Zh2EdW7B+dw13V92x/
q4vRPsrhNQFT/cwka+XZA/s/NPJhRugJZPSHUbr+BmbLzvW5v1XQnba+1b33bkC5VzGAar1PFjbZ
T6/vPpB+Ynzy1c92hq5UzkaIWIE3w5AdGqmh+Mkf/M3Okm2Q+Sg2bUiAjt7L3v5Cd/oUI69YnG5S
Rvdz5INm7Jh7hpa7b0MGIIwlVqM3xvsa7V+aC8icrDeoZPTCTfTuiuEQmXid3T4y9472QagIkjpr
WaP/G+U3JhSokRTk7BaW6Vr/MFdISC07RQDc0dmZpb+ydHYziaTaOE34QocwAgumxWypEeLmB7OC
H8NIIo9cclxwJdEsOdxKVKzvUeqRcVU25sEJ2IZM6qWvWbw32DAQlRG40BTqnFv39eNs84unLGwp
wT9mJ2h3pCZZNKQ9g9AKA5QeLo6TJlvXRltSXzi1OLpccQsGuENb734IIDKHonvUOW5U8mqJf8/F
Tvbtj8joCD11zYzensOsIXGT6xmFjzZ2ShUfQLnw6xLZpKUSuwT19LqjY2yC5FgX0BGLiTAYBM4s
ofLoeZ54pREu1J3lg/+xXHXh5Fotq4wMRcVWBFO27nP/CBmgRL6GxMUndehR3JeI+TcOwJ9ltKWW
EIOTWQWfixnqJgL6RXvu3pV2iVk2ibCRMeqbMHygovkxEcZ9ikpQjABlaxkjSyKl4cGKTAB66Q8G
2wWZyJiWhvJYBpY8c21FrNvuKeK2qm69rTHS2incWBuFNq/j3rt3kV4u9rBnxWKF1uQLQ3S8ihRI
jp5g2RV3LwzBjrcLMuOXK3Jkpr35ux4gJc6j9arjAaibvXBpRP7sDZgIAZTAdozSbuuL0Nvl0QjH
EGwl98WWa9ZiSWLQTa59Xt6NBiac6VQq72VIW/vePDTVttEceRGS4qPWjSTm3fssGv1SjNkm9Vtc
/hVyaRlUh4pc4XWRutDrJiD6Mxd2O5PJFmfo1pHcTnGNfASd6ndBO93YjnvLBctGeENzYzsdP5vR
JM3lrcpe3X6JzaqrV3tOIpB/+LpCWOWNFc+vQx/oTRvhaJ1m91jbkDAnhxGtvSudegJ2iDw1Dl/T
Mq4XvpK9JzMBuawEIT/Flz6VyJkpPwWZTyQb/5Tkqu0TrEirrCdK1a3eTOUYjLHGPQlNw0mrGkFi
i/gql5c4rputGb51ESg6t83wS4/Dq4qISp/8kzk4NCNlaO39yX+CEkOkm7kX9oSunH0MDR8p9krq
T531bxWbg4WPgsar/4z1QP53bT1i+imYjhirvIrqda7lcNOb3V2TZ98MAwXx1GqR0vWCuRh7y5wx
fxQfk+Vz13+4PsSLoDBf8BbEwL0y18TWQGg8zBAeqoritOOiG+SKsdiE3TH2xO1AxjM5II85cPM9
inQQKaesx5/gaWqG6wNkmu7Psylqye9WVozFLrJAN+ClDFdxabNa6Yz+PEVC7lHcrQMMDF0MDzdm
JsmaTkQb1p8ELbLyk0LPJ/Lcx0MWpZc848YThuWdGrmNh4kVWETokllRZuKYmibhGTh7T2M4oMlj
cLvJlkADbpINFQpFrIex1k4afbx+vkKAtScak6Y+eKgY32/njvVknD4OUevhP8rDk4Od+eT167F1
41Npd0wKc9BcZLclR3/hOnoNxHeyxoZtYehihQYVvL2Z5WdnDrLzjF/4LOTARIT2Sv6JQFhY3dXC
6iYPlHPPbgiikZSd3vJwfXZ9IPeElur6FMmsPiFnJvjwXCAxPI8LLilLrO+yE+VpCji3M0EBNyFO
3zIt+5Im1I7W8GDwLVEW1w9p9UDCGu2hngbmH8tb5kfxP++W38/DHuP9TTX6QJXxmqznOkk3SF4m
BvYxrg+av3W8/CgxFszOZbGa+XMgNHww89jYO8LLD0kEn36iDPz74BSUio0dM8q9Pr3+y4QBM7Lp
F4Bc5GfVIjLti/i2UOVHekWumKR4rdO4vhjF4O/+2+dar7ksYUCcqHR+3kyEymj3LFQ5uq3lS6/P
2Ee3x654HRLPgdc5Oqe8l5wJ6cpYoKNiAbdfHyCREJ8zC7C5Kmo3oZMzm1m6iL+cyeuHbjLauDfg
oDZDE5/t3tgnBXNq/KzOymGedzKaPfZ5ItnDmlke4ej47auAafNS1gvwJyvbrznGllL/+uDHXbiz
4aVAH7BPbRx864XayG396LOa7xxFGU4JV8QcO3opw6FV+rQtI2ODJSCAhR0YzrEBy9mVpCBa3uT9
QTReOY3XhzAws4MlaWELSC2riS/e4gf6Lf6dDHTNAwr/nQzkLEhHx+cYBZgX7IiruU2dqD39UYtA
dslSrzxsJnzv5npA9nJoPbH+m/sT4pUEiMcc9/pGXImi2Tyh5mhq38PGyJxdUaSxxKckLzWmnaAu
0Jyi4G1ZATGgzEdjPy8JADKZmaeG5eGPQFiWut93k8BljQI4J8cgCsNid/05w5V6M1zxPUTEiV3k
DA9tMLPO8Qk5zVGGOa5oebG9wFWHseTaCBlgHfpUv18t+0hP9cmMXepWTG3rK99zucGfqsXQ/wf3
iaN/j9fg2C5NXo9HZhM5JiSAWXChdJZeMLyG7IiODqSB0tQqFk9Bz1DY6X569vSYzEmzu0b7XAN2
wE+AJrh+PBK7u4/rmL9Fr7uzn1XxsWSscJXgjMUSJnJ9qpfjs8YhhSuqR+XLi1PVO76j+nh9pSj+
aIgcuyWUi7ewB+HDGuUavEPi4FyFO8kP0eYE5MU7XL/l1JFG+Oe7Xz82Uywgy89mVfVP9I995Y/+
/bgnu3NdiPnB6NIfSpKDPIDEavqJw8xeji6OEBChasZEPi4Xl+VztfBgT7OF2Fx/Y+EvcQTXv0Ni
NO8zdm0C2eGiLE26uikQ45z8rPNObdOs9QA77M/JuLxR/VThCp0q9nRLW17nwc8IOX62jEeaapJ7
bxmlLB9FU/zVj3m/vSZIRawP10JFzfoKMr2+1L9c0+vn5oVwOnSqI82Ymfv1lY+TURFIad8QcXgr
RYa6hHc38d3lXZmImnR2KSQqwOXdsc/z9OQ5nPI5ZkIm6O/cwQxYJ3mGpLkGlbPLqvLJ6XB7hGl3
a0HuhcgdAftCiT4ya1nBubr0sXlPBcEwkiuXnbXZpu7RDMcVdD3kqN2+shTnoHGyNX9VmyiRkrnm
itDhx6C035PW+yCb+rYqrZCQjRS5eImvi4TxmyyZ5z0UTG7nZgumVZ8bv/wAkcu+wzUfAbsRWItW
fD0pNAZN/kOGNjaA3s63GdlnBSFGTErMVe8E6b6KxUs3nZ0qumgEm9p2h01sd7fkifzQTcZ1Vly6
AWcr1p9fjOObx55ZJQxddtZqeswi89BSjyELRWs+FUe/MkBaB3i+6sy7MKa/D5IIR9OD5RMsWQrg
IKMX342LVTEusWUF4PQdm8aYIpVCpR0ABelfnJEzjDqKMjuOoEGZ2NSaxK7XQYP8gW1BcZ4q1yOD
rThClOl+avPe9SPxS0X4s+lPuMtratSetMxgMF+lMO5CBhfbxErJ+B3a31ZIXV+p/mGsIK802gh3
15ORoXN3WBKmx6I29wOpINerSFjbyQz4nQtKOkr7WE1HZAgoCqbWurOy2diFqghPY07e6f/Xel6B
tv8XraeD0R6N5P/8X9GPm/8dhfuku1b9j/VnrbO4+PzvMtF/vvQfxacf/MvlW/lMiU3rPzSfgfMv
h6WVJxwSKgMbUeC/4ylh4tqYT1waQscTNv/rr/LT/hewPVItXRdlou2I/zflp2ND4/1PJTqLeBc8
O98UKTh3nP9UfnYxLktGxFCgdAsMA1HNTVx1z7kgHNYf3+qh56xrqmpdj32/UcKCioPBZF6CCZCY
7IHKh0AYgyi/9asHQJCY4Gb4FtqwTo5mfcwFE9jVdDvVZX3ozfBXkmSYwuc0ocnHxeqIBAlQ3FSr
gaZ/I2+DPEuewtTcmnXhvExRRg7H6Bg7a8asOHpsXSakY0zY9caV6DyyOpA7FgwsGa0eJK4P74qB
V3KwdRbuyjHc+YV0zzDhVh6DsRTPztbihbKBId2Z4rQ40uWcGMyN5D8POKVrGSKaQLE3wTGNWi6v
cvBu8YPt4MFnT2hVwPv3jneo0vlAejZaUpSN7Ojxq1RDcCRgx93baoRrBVmtyCiODXffjQGO8BFB
yxQOzYfhcLtq4HnIJAl3RhaL26hNWFxwvJy8ofiqWbmwQmkncDNQivCuuSsDTD5aSNfeMoV5z3R8
M/WGeoWwyWUDKZUTV7A5K/a4HFXnTvvWKRucn3VDGR40VXG0JCWi5T4D1iUUIq6O2G3ErqBZY6cc
HbrIlidLALqLtrkep8+5b25y5wWQaXh2DLy3STQ8OsR6H+YMuZ1nZsHFp9vq/XgTevlj1NJap1j+
74aJdPUmlODe8WmsI0keh9sZZwbNGYHRbXyb9CEshrB86SEk7BzI45s5VtxjSj2tlNpmXR/dRA3X
VHKXcBWrgQxyUT/M2noj7grhb+2/jtoH1uim3WZiF/DIZIFNl7HkC6M4pFUZ1mFHYOc0EFnjkRQ+
x5H7GmGEaW02enYtWYXFzq7KEtS4pdpWeXGPjzA6O38GpnFKxerN5ykF70Iz91D7TvrIH3RjhN5h
HprhucRTiWrEbLcGBGIafYAUczkEBD5oDJcpuFBZf1n8uhTynn9PeDiIaOejzK3yk+V+cpNFffGA
rI+5gQlPqLZ7700tLqJkItC6NIuN9rM738tIVhlLyXHv9augmpiK+cY9CgpPmuVZjdy+0QXHXbvM
o+fTBFcfEJk6l5ZH9RE5J4SwLhtkx3+IStYCdi6PFi16J6r6Jh5HOKWtoLYDwUkP2W3bAJs4bQL7
ILdryAqaH4irTA9zmFbnmbn30mPHZsMBlD95Y3trY/l90DL6yjuczbZvmryvRUDCFLZjVQG/YeGB
mT1mZlExzmeAMm6MkqklmWrWmdAjy/jhTyEZJXV1l0abPKncPW+UGroAWVVwY4QYu7QFV5AmOjyl
dfpi5gJlbhhCIi3urtmegdPdsTHL7oq9vAU9ftbemJxBcBjrWJrmViT2qbOCEKhH0+9DVQ47VxNZ
MZbdPu0ZFzajXd8x9FrjLQG0Wajn2n7Fs7POg2DcgHuNb6X0rXUS2sgiDP+etItnLkH+/TB0v1Xj
UJXR061jneutRyo4InVqur50MKItlZ0pvH1SAbwKSMyk/6puRxkjJG1DNPaBMaynBYDXtZ1xEUH3
mJcMTBJIahQULGIH2WFpSsAkT3DH+PvYPyxfsFFn37E3VffVeOlOwnciPjBLDwlAlBVbvW+fdct2
HFKCVkxDbYckyO9BJKXBecACmSUR23kgEABNNJHvHvAmPWkikqRxP6uEncqo+q0iFF2E0WvtAAjH
J4BexvDEXr9NRhffTsCoeW+jiNc9ImMpmQtP+WNVfOdZ273UnbXSo9iw2XEPpki6rcC9awHtHAOE
ejLpjzV+GFjLNrMr18SUt9R7AzcBFVDH+tN3VBbxnoQ5qkCLlIm2qd4Sl/lz3NfexuT/hEXxXqfI
5gKfdBSwgi8Fik8QOWBSG5c8Igvzz2AWv+agOmEEI+mnGH7llszXdkrzXycU/JNK1pqZoWP5VLSZ
tbdM22HXjaEyrhD1W0QjtXLa2RO6uFTBcwBxg7waXV88p2olqSt3vPTDGBJ0F6T+DVLZ8T6wlEHP
dxxrzyS1V3N7mLlwODUi/VEOOZf5UaxnkU/I+99ELF+mxVLtlqFznMIGLe7w06XPXXtOMO5DD1+x
M1cfDOF/BiqLHkC6eXAoHhtIQFPqPgSmiO9lTHMQttBxISTQFWh+iUbEDzVJ8utx4tSsc0fCPEJv
igyVbc5ixPfDnZXKcl3TlhtOGp4yC+EveiPUPVneYi2/BL0737WYf9eSzeAhKJKf8+xKxPIufgQS
f7jS7bUZEMFSTSfZ4HnPhajWbc5sWRZJvr1OMPyCJDq3QMECZ4Rh21xtI18QSJgK1hJO/ea0njrA
sCMWrohZC0KvnIjTHtswOc4ziiy00+7GdmEXKQ6wrIJspf0FX1res76XL4C1DvlYbWcl50Mzi6/J
99VlToBFZ47Lxaf9PeWB9VygKNb5O6LR8pG5zxs7718F7Rj2cY6ZfIo3rnabu2pVoo45JvE+jAzj
ZHX1R+ClDKnBH27Ccug30RKF5je+t1Bu8ifLbo9phGAj5vq9g0Nn30f8Ak4dWA+I/rZJYcTvU3pM
MKYyZLDTrU1E+U4sqQSuJ9u3tBdPQTw+NIWl3nu0+4VL9DxMc/c5iIwXLkurkj/Jm2/JLyV6AMdp
SjZI3NVbMgogHbWakRmbbmClXfYk4kFvgqxGGAjwc28yZV8nqoneR2/6YU9te2vFhdiEyY0nbfHZ
o1mCnTwQF+dZt0EVm2eAdvR3Xut/uip4j8roU7ErPpqQhp6Lrlw4pBD8VD2L596v33qBIgJyNuP5
oJKPrheyt1MKn8qUWds2xmJc+iPJme74KPK+vzgsjjbAFcqDJ0lRidR3ZVTDyvXq5CklrHjfBxhl
o85x75KBv4crNAaM2lYHp1LHMh3Eby0TLo0ZfufpW8EAJ8uxPGKWIL3KtHYzpLn9oNKJYaEV7Wuw
WycDCRLCl/bGKx7TvB7gQ5ankHjg57DlIHZDp/81ahTxXvUYBw0IlchsjuUEmkrrJ/5U9L1NXOJf
dLAGRXN+42SIcYIq+YwlA+ukCjreFBZPtVVt3DFWz15yv9RZfT4z2om8va8K5rt59cK9d4eoMaWr
jYnLMt3Hrmzu7eEY6Tr4QWIAqVDWHD7NfoMmWs/FJaZc5VrdzutsFkh6o2+bm/9aLITNskDKbCwH
TloHoEW0JAfNJ5AU5ujvpGEXxjbbO+QFvAjM1HPzJhipfTld+BHBpno3VbTwOEtucGz+0tkFrqWY
BUv9OgZJA5u1JCfTgAzc5JiAR3dWH9F94cT4LofxmwHcWdFWf0yN82T47s8mLPQj2ZfHSXQXrkdc
QQIAdZmobrwhiO8sDktWz0PLcIgkb6DMuUtVitit3OrZqr+jlvfRb2LvLujFeYZ2DGX1txN16owM
uNskizLOQFi5GJmRUvpA9SZDsMe2wTkWiDbvPbHJZWy8Bh3InWaAihuAq9WRoY7WkH6VAZqCZrCm
g47Gt0o326okyzacWFiixLlEDNuOie+bBxdwyxiL1ygI2jXSnN9DDrCEuodpREeoFMK0Ykeb8OUU
pIARcnQuGrjnaOmYztjxK8Q4uATmMKOF7hcgDF9z/cKrhEMJPEiaZSc84eipHIxmM+NHW9FjYQY9
N6Z6LUzts74ZvwKXMX5ia/bcFbv7IYhePdNg3FISKnqVkVwfuD4flVk+GK1tbnQ2JycF187niLMT
Fl4WkAMKsAuiULmNSrIir1qV68Nwjfvuhw9LV3DQYkjZDnQfzg3hryeWWR5boFR64Tpj6IOwgKVH
MRFca/otW4l6SfeJhqQA6EfcR1Umb9Y0pzsM8AjWWctaLkM2lcLTwBYCEqHpztLvSPtQTJY6t/Lw
Q3XTyQ6y6TRQW26dnLmwML2fbTUaWxavPnv7GTNs1D5X45RsmgCWuTPLHZBQvbAS2DBP6qFyfQ/M
bRdAm3+cIVjpni2m+nnNXGi/VE98n0eQZu527rqNCX6NrOasx0xiI3TFzdifpiI292mLsVCWQl2Q
IKhdkSYMV4PkLvBNiA9gfGSekPsb+OGln7NXrUgRGVMRP6ZDtrcqDydSSIGs0uTRygmDc6vvEHk0
6lYkcQOLONSknsIrl0w4ivoPYzDQ2c6FuUtl8F7YrHQ1vIA9VpBu4JRskkadEiyR7eC0T3OCiseQ
wUcC922qe3Uwi+y9y/wPkXj7trRu/EH9VC4hhqgJ3oz68l/snbeS5MqWZX9lbHQ8A3EwYZTgJCMj
OVNgyQqcOTi+vheQ/W5Ul1XPWOujhCE4Axzu5+y9diCwo2EjIWkJGLhOdZWfcjw39fCKHGszIkBQ
uwQGRKmgPbFIzZlGtkAdELO3exYmxziD74O4JTRhqyGgSKBeoBXddqyKZYDBOqPPtmsUUlAHxzt4
nLPojZlMd1kDLmQcWbumBA4YWMrG79WzsHr74JlXbdoJAq7K9zZCnAHW/E6pAM66Kmh9E5fUMQye
4s55t3rjhmP3JmviZ88orINbk5zVq9fCspsVE/v5hXJa2ruyiHe0QkEiFpw4CnpjU0CGaY/Pug+m
wss5jgPpsCxsSaCiiUMa0LT7NTEJBSNRzm7gJkeaCfrekypHaTpshxRQd5lYB4lNZBvHyrntoGib
mdi7Q1qu7ZScBKgV9gFRJ9aYRKen7TrVSh2aewaeWxo4zHFSJpGpp8OZkCxH1kY3GbPSM9wRefRh
nWHZ7yNtX1SGcsC66x+l6Xt7pf5SGha90rURZDWNwiJQXjv94GzC2CZpM+3h800/ZKpoDase54GV
lXkQRmkeqO2adCEaY2vyekUxqUt8M1mqGnpTAOE91IfuXiAvS6z6rDeIRpsOQ2KuMI9iLvOglTmS
DBf2GOp8CNMBrBN6Aczr/RC6lLlVdfOxQ5+4clvlDrsEZs87erH4beoOfJxNi8lJrtWxRgo8ouvi
9PoEbwrNlhWcfDv5Sh264k6bCbJLIfMwV0br37A+QBQOJ6OAbtdvBeJg6tPeI4oxzAPa8N1lr1XZ
p/e6/m0BrQBWgfErdhZdSxM2bgxI54Oj424+p7Q4F4RRYb9RYHIlEEKDXjtGdv2hAeTNAqZMo24T
ruvcRL72hu+xImJ4DzcZ25GKrtSpKeuPNuzBJtrl3WKkt7cKIoOkQ+3dpSJBMnq9rStgl3481bIH
csh9/ZuQRfd03cCsf9OplDnVsmzSZtNRGfMd/2hVtATdamixN9ab3BwIPoXvDGGmxEdodCRRE+sa
qhEoQM/Z9pNhWmeqv6xlhXod/VPYVsUBeKiZ8mcMVLYHU/vq+iSghDatAaiMsF9aR0/xCUKCBIn8
TCvPHY+KzPxRLYgmBe+7KFNzXNHTAQQao4VLNBcclfCDs12lOnWaLl4BsWpWHq2gRZzn+GZD+v8u
K2DCUuKdJOChGJObOCv3dZ9/l6x1QW5QgLeR3ivwcItH+nbbDhNcGsgnV0GQmgTJTeUmKEbDNz1Q
SJoxE7RgY7w1U/sxqBnQckoho37NcY0/ujgQ/f1d1OwOOonnwptimeRErSatOYXg3+vDaqTnRKhX
9q7SdSwBNpdqlCyDBN0JzbmFLiCAmqKBZNXvWoOznGtU1zrnEsjLCuoxkkXr8WTbJueFnDmLMS5y
1h+h+HKi4Iu6oRtE972fNqBkDf4gCbImfu2s7ruq90Lyz2nEcdLL2pqeeRv4fGEaNe95oJ3w6CJ0
pGGbeJCjA2Vv14SOqtmXg0qoR6i5Rjtw8DCXkiuQrQUz5UWqIjhoaxVko1eAy0qOaqTcFDhqqfac
fRk9hG1x7wRo+BnhN4RkrZgc3XGMYIa8BaL7bSE6ZFppPfttf51b/DiUKGRU4BJWD6GufIQeBEqR
CLxA0UF16OQIhnm/RrGtriutJPimpbRqCOMGERKM+p4RF2Mus9ZnuDGf2JK/o7F6TIWFR6RfR073
VBFe6Gb9Z+jF2GnlcFJC4wMsx/2IYbmNaMGp2h3RYSvVBYYeZ68tlpFFlFM/wkO1aprkvVcKzIpd
/wVOfuHpNYcP/wMLlWuhUzZlmbB3Q9jMpq89Gpa5H4oYEy7STDxHsqhf89J86FgFdHmEBV9H5hFj
wBJkWhgEGSvbFKdyYGMPpigHhpE8r9gAuBEXkOAVsHpO4K6ojo6L2g5tyjZojCzEWZFX3dmsQtS2
5C44Kis04XQdiw/KwDfBXqRfE0RYkfJkILNizEKZN3YDB5UYTnldfiDDPnrmsM87EgqiPnsiAY78
Lc0lCIN5WQ2QbsiT70HsM2StS8zMrG6cdDeAhtScL5LOX0ULcC3SmD/mmbMmOv1cjnBqjZtErEFl
PWV89zyub1z2KSCLYBVWHuqtcuz4Y6HpENWwEb7OFzCo46LGW5hVaKwtGy5/L5IAnnVFAgSY9EVg
KvdA39SlF4mn2HiEhXtwTeofOU8fqUFjddAohva/aMaxjIrdR6kIAI/O+Bo4ZJWYnjHujUhdRjHV
FrcLflWZcV2bSEmIjN83TrOGUBGtjCBTT2X+PVAHszKiqo3A2GaNQ4hdc1eSI4R0Hh8JHggzhakC
wZ1/pLmrMOxhVGq9fe0GJy+uAlbltFRHL1srYXhOW4+JKcUcVIDFJlQYenHgAXPIuq1sVWOvBa1c
jl7/4cfBW1YWmHjJX8PPvmQVjmaQsFxnkAdoSc0xoTUR7ERRwp9XMdCUnr/CMhduFUlZSuChqhVs
yuSCNIsRpC2+KdaYMiBfLRwaSlVePlwpHFZ6UjqrMC2pyWrmkn6r2AvN0Bd92jDxRG6oZNE7hMFu
36tlDGYqxLKOjNHsSbiHOAJyNTStqz7eGr2zwCKgUDBPKfDbh3QC8hVgiZvWfPQ1fuXu2jK19yz5
LL3WeHQCOgQSp7ruqVMij4Z+3zY72o9+tkl8FadQQq5T08qFF+rMMTTqkobAv8RMK2vxiqHfuRuj
hiAXV9R7v5wYuSH6Y+krmHVgDUp8XhIp2LV5HptPtTAg6Y25w1luYNoYaBtdGQgJaduHQVexFyp3
I4YLfgZKEqrtonZElBln7tTY6ZAU5+Q6FXG/5bwodnrfKCtRx9XKNe0CnXL2NFCFk77/ULiJiZ4k
fI5rMqrNDuwrgxahffo2tNwbtRQPWjBM7rggPFkSR3zoJ8aybs27osL9OgSCZUvcAjL08VB5LIbo
IbeOT1011+WabNZ7DI8Oo4Frr+zVFFvAYnJfo4lbOlSAFlHBGQLe57iRI0engyQFS7/KXMQI3BuB
GdbUmK0NxB/V7AdXQEnatU+OB9J15iiO8yuL3HSZMVZZI9DwtrRAA4EECKNnyG/FjcAAjfMczHbm
r5skRFwI0yogvQCK2BMTXLm0gSBhdAhKZiDJJwJZInz0Rz+2y33ssggz3dQ4q/74VpmpxX5t5Ndt
IDdpUj6mHpREw/RwEQ8JizwslErqvRcNQfOdRp5SCzufqlSy1RFdL+KW9XbZPlHtb1Zd8x1Vw6E3
0q+ONPRKz+PFqFivxGWcR99fW1hDS7wPiwjsWlYRJ2652X1v86HUW3T6jDxU9aXZMR9+020YVbD6
V67WqevCpKDgxxwD2QgzOIKtUeLYRBMtGvSr0sdiJAe1WECghS6LxqmvdhpyklWsKGhWESETAF/J
e4+SToiYDAMBCziVPOC0824Vz76vDO/MtIDS/4ifLkOTrkYGST34PIibZq0Z0QyLKSjQh7gbpCAu
yKaWXqnJ++T2jIX/CzuAOciTrSL21wrafkiI7vQQyyf2Zl9s0yG6LlL5JruaPTZ5NZnuWn1/FQIS
pf67LJRioBhmEzQFB3Ni/3cG2YAD/Mr02erpHAYxPnecOt9jAjcbrZznUu4ytli6bokGeKa7uE4r
YyV1+6C4zS+sfYvWFN9ODw5ULXiVzt+l7Huh8W7Agdfj9CtFY+K7t+j+yZvXi6Xtdlc62V1CerB/
W+tWmqt6rJD8+fHatvxTiVa8suF55tUTszyxgdZ23fT2SbEgdEtWrdCYk4e2qV8K0ztMryXN+JTl
4siMdVsbL6UrcdFNLaf+oHFuDUW39cLs6Kfn0s5eXH246VTrzm0qVLtba2xfdN2+4p8kRRsHZbZF
Wr2qTKI5QkYfg5wPbaszRC56ZiYyhyXDICUBLlNDGDFijSx1iuFkFAyVYardO8P4EFbZS0+hozZQ
ZtjtFXLIo9GhGBIP/GorjtJ9iLyjoR8ie/dsds15+r8ahYJuGp15y2v4Pmpu3Xo12vmCqtYYte3C
alhr990izcWIK2WHd3FnDGGEZEdyakk5Mwpq64UhS8r05a2VNM/k6/FzV5wB9DvdcmDaYc62xhsr
ksAt8g3t7NfINBDzROVt5d4CjSGwO9hLZ5jy8rYZ02LgQ+YTiIwNvNsDRrlTKRtjUcTKA7oTjCbd
bRRRqVLIcVogUI62SRI99Ur/RVdxmUzOTugZN0YT35GkbVELh5lWy6OY8M2VIjBRemJRtOJcEgYZ
NcFXntBwDcrCoUz2RO05YCREo0twnb5ECHi2rj3xRmHrmAwkzMC8WLtAdFTX32ZkOOWskkFUdAyP
ornxrX5ds48o2gDHVtviy9k3UQCsnom3YmzGetjGVbHzPAU3N2Yii65LkSGm7+kqQalxUFclZnPv
UQSu4c4w7G57AeuRQfEKayMI/ux+2vFrJUJLTdWDc1reomGGO2OUK2nYL0kcHKXiXic4E6vaeaTR
/tLFJFCa/ZEVNsNVqT6DR4ZuMPzKDLiOPZSXgUN+oZFRtsjbTllC8D8y9bgqW7HXVblNKw2ngPeg
U30A3UQ1Qb/uQ7StUfFO+/q1IsNNi/CxB3q6tbvPDNcs0GpwyUSnMHFRGFGdWvkYteqrScXjoDuP
VUDdnWLEV1ZbD0SerxX8L1ZdPtHHfBuZKzbem2p6t2KsfsVl8Jhl8SY241t6zvsuRUg70GhFX+Fm
0Vltt0pePlhBs6JJRVJK8qGr9IEt4z7D4hqazSdlmN1YQ5OO36Wi3smkek056pWsuGqC6EUvuteu
VkCBCGPVxvYuJjWI2EacKvS+fZ3kxpgTEAmrDhLqwI5WnGP2juU/6oZ2k/OfGI7zxWddlF1AbInc
5umjSifN4vxZaulN1D/QX/r2BsRrvn5dJfFbUtCMs6MdcKurcOyvHQvNiZKdRkMcpVF8h0jnZdwe
TaWB/6Dfwck4WAQDrEJ6prF6m1Tha5bqB5zc1PNY4DYMJhxgz6YyhfuFK5ViY2GXuMeL68B2oSvQ
TFHr7myMxbnTUVOPxrUC42FQOF86Pgzj+KrRugeKS/eSc8pipCOSa0Q3QTypc3ZtRk8TcMPgcHim
+k1TsH66y8wOmMbSTylFWk19tPJp9QXQOoHcaZ/NAVZNayJ+cTNUhdPO4unpjeffaJ4EgOT0OHkL
ZMwknlA4l4RIZRStUFF62HhRTxSbXEqYUmdBHINbZyQNAks2iB3JTZIUyBer1eKc1MO6se+NqNub
g4E4gQq/r7+g9De2aU8JyB7ubWuqxnQNlTR5Hltxigb9hgyCD6MPdr7EpZCOVyQILqpxvE7j6g2x
412ePrgB8kBMW8+D80YA6743+89cKeikaPp1XcV3Hj72/rHTyveu2bSyuuqq6iUQw6vdaOs0dp8C
h0MOqWIiqvpz0MOToApOW2RbqBPwU2c6Zch83wPiDRV/F9t2SmuMzga6GMLdjx15JGFKMzrOT1Ew
br2YORIjBpB3/qYOY4fdE2mB5kZfN1pGuIQCdk7ca8oAVsvWHulunVwcT6gDDqxxdqFIngQZRPR8
fV59PKqUHwqj2mWaZPej8GTiEzLE98D9nkbMCAigXjtbZQpqVm594xaswDMe4XvLNDdzTpZK0lJN
plqBgJQMQ0UJKFCb7trSxK/pfePBulWB/gRlcAo06sIS+/JiesNUaPekiISrMHCvYA/foRs8sOzY
eUH4qKf6pm7zJ3sptfFkagExP71gHRLAkzSdoxLQf54e1Kflc2P7Ey/hW68CWC+p9ZDrxW0TbOxg
CbkGZ/+9g6QELNcqTt0PnWwNZrXmnTqOnMld6BEB/iVAaCvRk9lqjU/G2Gwjs9oUqOGr0FlagqKI
glWXrnxB3odOgbnCxdlpxCbEBMl1fbeTdksEu0WZUOy9rjrjkD8NMKD8oN5Go7EXL21DEXt4aEEz
9OGwc5zmLMJXfypldvl31DkfVFv3VkYPFHac5dsfpftIi2bne8m3J5yTF3jEtFslaXLVO/iGOw9b
JgrfvZNRwWlgZGi0cpQqWQ0jQ2SRxgjNXcDX9hvOX+jodMiTJD9oMbRlNFwCEb2ARpPZymoONYiI
dGMMahd0oJAXz968VH+dhkyfYD8rJZWE7o+1VKqz5dTG0o1UhNX5ztUZHlFNnBAR72rmEwfIv7Om
8f+jPv8f8k9dsx2Ekv+9/POUZ/X7f9V9/udz/lP3qaniXwhCLFuomqYbCCz/gX2C9PwX6k6NmGzh
YrJXeacsR2z4f/63gA+qgj5XmbmZpoBS9Y/wU4h/GWQ6uDYoULSfltD+R8hPZCr/VfipmpZqaYi9
OexQnwoQov/rd/5sQQ9R93ALnq1h4s9JYwpRy3ZZOVIfVdT9mOX2JkqMI1KuaJ204RsDBXb+3mJS
SNi0WQbHBuctukw/WjXZL2cyRBa1+ao79Z0oJPqHVkDYaU1ofhRHcIYgiialszLz27QzEQfpFN9z
klEe4qFGOUIopx2Nay0MhkUsjdcg7j8zPdtaIq3PSTyot1N8FrjHRaxQvE+8xmENhHs1ET0uOjri
HXZHI74px/FJMdNnY1DCbf4LGxU2H7llDgzhogEhFMh43JZJ3yw5zrc+T8MshzMWVsILOMeG4Knh
qxecxvj1liCJ/d3YEn0ryFYYXKQs7Xs/qvFtWufrhloGZzIZEeduH1HxYTMZWd4nDecE6p2Uc9zw
q2ycY9YmU4wcU7t2pemVulUdyMY9HTp4aetUsHDiERSsC0LizNg6qEEdbgOUOwuhCbByfHPRN80V
OU+FP3EPkY2uKQE5q6ZDMkLQwypiQRQQcslc/FxmaPCKmDWZmNJTDPeeIhfmK6neMNDTNlCyeolY
KV9YxT1WO7lWNJOhViQvmqTnVOrJu9bADoT14zPfMxnyCyiF9Lk3RlS9uhGmAms08jXhdAfdzbur
ogw2BKkidQdEkiYy34QWNj+fXyChykQ33n7TkvbOGgkT1aNU5eyJKQGbC7iYceSs5gxnJnfyGDrJ
r2hakvepQwLesA9qV5Byz2sQ//BkF+jGUsTHqyDR3zHF9TuDgCjsfe2e2Xm2UsmB2CUmFTyAcdeK
UZJsTA25p8pMPW9ilfUOqwcbFKWlntIRUB3Zr2CJGLjHmjE3IF6uHdA+qtckSIBOMIr3tIZJqOAc
gHIVXZeanDBvo7UhEcnQqY/4xB+4MkKtigVnmei/aOUW+yBtXtQQI7zsaTdBBF/3OSUCQ+rIUC0f
Uc2uyj9jhTZllKF7s4I82wrDHK5UlRNqGOi3xAxmq0ASZBkET97UdATLCsEzxDIB1pzk0lRbNJVG
77anThzeIUZTmYatS/FpllvaVs1KlWcb//nG11iI1cT+EdIFAGOF/pwKGufJgFLFfsCdjpktWBQE
IqQh4VbSzUjTEPZ7Kr2vmgFsqY6aspRQOidvXjX0Uz+JyKusPxkqas86opmXlg0KjhAtFObUbNlW
GitZvGgbzaQD6RbFTikR5WFh8jPKxxpuOy16KWEn7m3iCm4A+iIAyWqsKyBtReqsZch61AtyuR6z
FElMsuNfY7Xe24CHKEKzUAFwCAoqJwlhcIwNI/DSs01UEbBSE8IajnF3U9eQsTSmiW0NNkvxkezQ
me3ZZ6W/MwhFJOUl149x2L1DTdnkVdPvzIZF+YjYjtUqRakmTLHitzl1UD14KdzgWs0diUARw1ab
s8uFcaGSbtoYK4dYSzcXAeHO+ZocHH+jIuraFtTtlMbrNi561kWevPg5nYQu640tkTxnshYCcgkb
WTEJ1ghBQNsJN6je6EJ5d4z0Lk6CdzMLz1mK/kmxpywHDyYc/p7bqBlOwWMYrpNEG1asF9HJwXDC
4LwllTHfqFboIE7XFjWZPzspBuL80OBO+IhEnoNIj0E6YOLLmhZVHhgVuHfJ2MlDCJLjkLhBdUAZ
RPKdrx4vN82PqIhh0iGezM/5uW964m/XgT4SxTtiSI8cpT3Ek2V43gIpckMB8MuAMY0qjxrNZOSa
PZam6cBima7OF7G00jUlsl81xtNxWdpVvx0q9wzemoykOEeV1pscC07nn6ux2ls6c6vWY9FUBuJq
ZKBeWYGtLx3dVq4DZq/qSOhPiDEMDGTKdJjOLpnM0+Z8UZEdjmocatnsLJwvMmahh2pS7Vxu0+pe
W2UBpCqlH7EccRrtsF1CJWEkjEZ5Z4Q5bCHYG/RSHnInmzAMzvVownOvwoSOTXNWFQMC0HRRkAKP
pZfSRpXCBJRaDLXoyH4VHwLTurF8/7n20luQTzXEsB4mjH9yasfdG2DHkNkUfrqTsb6utemfM7Vy
qnHd91ZOeMh8Gzhf/k0MvfuufkxBQxyIwHPiatj5KfmVeoY7tnfea1qzdUQDNenMX5D66Xg68JAi
uzoTJJsfZg/pzAlX7esMVf5esLjOd7MvztY/3XbKAyfR2rfQAJG6Q09Jc/EVTxeuospDgyWcxva0
qdUMjzRH6nVpDPZOgSaKiokAjB6lRRejVitEzoh7yb+hf5UdjDiOD+KWyMB7oaYtEOlDYCEPRi4N
PVdTr+Ceweq02zdVU/NNWlv7sKNTqZJhlmYtus6uIsZFYFVovRj467wHIDNCtSHacDmbg+d3ulz8
cZvuNxKtGDlsaVen6jqcXLZpFfXLsSDAb/6VZAgGNw3L74vHdt6aPYN/3MaZUW5w7ty1rDHw43NB
XYvWYUjZLBpzdGg43SHdgLcoRGf1xZbo7kU7OXpDkznVfGF4oQmoRH/J4j6Zd4dR4fCl+FKsS2Rq
+kDy4+A3nprR+nSGECVQEnwqfeDQCZp2734y0zoQXQ+Xq2ncZuluvqe3ezmu57vS0gKoMrbEdMGe
Ik735xHzffT4NmhSUVRXeHAvr9RmqN0IUKcIOr2PMR1z89bPy/y8xXTPvPXb28zXEUc8Ol3JfvrP
Q+at+WV+Ps7lrS6PmW/LcZuLQSG7DHHW2x93/rdX5zv+eM2fj/rzdvP9PzfMv9lvX+O3zflR0MxG
ZiB9TGS6VPLffqzfXmTe/Os3+e3lfrv/t835qZeLPz60nQpS8pwGTjMT89KogmOPDeuYD1oPWlXV
tp4c5W6+wxu0Aujz9BjUkvSn82lzvm5SfGt6DvnAvLcrEmL8EZKUkzg6J/W/blYFUzwQrvoy0yC0
axB2VkY/IaLsiSqg6Ane8Pmp8/X5Qguydiep3PZaq8FcSJBVFlVP7mh5zADrbITAmlNUSBnxhJFg
3rZQuRKiwKzJ7Yt2gzqJ4EQE06/ArlYegogdOp/GcGfa5earfaiy516uzzcq054/b/3xlLxL0BjU
TIsmU+Z8Ab8s/9nSY/D5ImIe4FJsP8wvQk0Tjue82VJSAGU0vX063zpv/nYr5NiXzGRCYlVDeUAP
RJh4Xr5a2shgHGDxbSIl2ddtgSk0clxl3cf6Y9gG74h3WAdNx+18UU9bEZNh2uputNaH5CMb9AME
T8a+sT/GogDN4za7YBoxtB6UQOsuC6eoyZ1D+Dn9Nkb9lSI43M8vyMI0/Xlpj26LI+y9FXZfY+fe
lClyovl7eLF1700QqWweEObb5p+Bsdfe87zL59OnM2YLxW9x+RULaLx0yLDHTwgREx19ikJjxioo
7kurqQbSIShnPw8R0x8sSXUses3EL5gQOzFMY6CKfIT4PXs/eMZdTweDKUG/qqmipNHkyZiYD3pT
EmCKgBVKJ+kYq/lTunF9LcmmBxHHR5g/l2eF/b7Wz6OR1czejNufB/7z185Xs6b5jOjdLGB548vN
I3z087s00xmqnd5PqQK+2nw9nrEGWror8nhIEHLTt9RSQFqDWWfdqVFtsZtZcs409+kmtBz7wq8i
SMmhmv7V+Z+o5pf+5+p8R+gY30lL3wjR+grGvstRYhvLCLA0caqtB1+dc+kUhDn/M/Nu7autsTRZ
Xng5/o7pe833zRcgeH+/Ot/7s0NP++/frs5Pmx/yf3+pOmt75h6n+ZCb97X5w8xX09ndfLk+b/3c
iIpkAKFqY/OZPqmP2nGnEhw5P2R+W9aaHMnzZj8faj+b8/E9fzhmfv8+AOP5jS4fGRuLs+yZJ9IR
fRAz42Y6NgKK5uN6Pkwom+Rw+gfxlsus2LoBdri8CgJMZdPDfza96VcjKs1smFPU08Aw76nz1uXi
ctuAYmUzaPq60EKoNv8ek+bvNF/ULRXm5bwJMYz56bz58+mLsSck6tTndbJp2a7yYdxYvUv3pkxA
1ljiw5k/iJDIpnV1P//Y7jRwzVuX3/5ym01vYYlrVsHoxKeZ75jf8nL18tx56/I3Xu64vN4fzw2z
xwaTKGMYP808cDZ2ILPdfH0+8vjF4/o4X//58GMB9hH7ooqUkkF5/k/n/22+cMd3X1Gw488/PME5
A4cS/0HQNExl5j3l75vzs3+Gqp7Ump1TJCt8c0A7pot5LJmvzlvzbZer823WNAv+Hz1ufnDnfdIC
xXn8z2EEs4Hd9nLMeM60G//szPOtrp414/ryhHnr51Hz5p/X5yf9vOpvj/rzDf58lqLBnqVXqI0q
wdPTbzifRuat+bl/u+3ykPlefZ4FzpuXi/n/uFydt+bn/bevWmgOv8DlKfMD/3irv932x6v+8U7+
NOD36lpOlI75mMUQRdOuhNM1HeuXi9ExCvCQ0/nkcuO8dblt/KHHTI8pa4Oj/eeR83A7v/jlob/d
M29CsWoX6LgYkqc92hoz2IqXA+W36z+b83H1263z9fnxvx+eZB33sLyaeNQo6TE5Lj9JMrB0Vdwk
YwxO3K83Zla4WxDo6tLtHuM+M5Zq1aiPDCe0RfoCczA8FCJ6mvKRHMW9KNHCjjCCXuk476zSUB51
zXNvWj0vV7rX3sdRQdYL0gcg2XGwn0yFqmXeZX0E+cgg5QmYR3E1DuRu2X4d7VORXoHgo9xInWQZ
DIDfnDYttx1dVI1o8w2+FMa4P7/wz3Ayon1qpkXVCNGaKCd+tPn0Op9YLxfkyf77bPvbKXfe/NvD
/7htPnXPt/28w9+e9/MOXexeWdVWVVHrz1O66cKZj93LdWKMWMRQOp/oldN5c7reTQfXz41/vf+P
p1smJADs4wWSj2lQm5+eOjaN+fmRbVxCB+rL2/mOYT4E/76Jjg0RUZJ/aiGOZpjqNGLJuUqIkOS0
KSbae/BpZ1eNUvBH56CwhL0LsxfA8nT9K7mjYGcfOlInlqyjYBnV4qkqwhtNWldO714bGcg5hxRV
B52sXqUmfBjzDjTgZ6GTLhkyPK9Dpv47bF0QIUeQrCLMEMpnY7VqINMQ3YvJqayw/ZRE+WECp19X
Umfc1kpzlG+WH5jwr5gZlopT8xY3fqKiQO4I7kiGXOLABR3YYYojLJ3sBSJdlpoZH3EapTtO8VNw
KJHuuW2uFAWHVNO8+kFPlGiSknULyqanzkaVD8M+XVPEBs5Ugffo4ro2ImK77w0qBQNKOJ8qhUUT
F0p6vvFif1l4FC1QF/MDI6kB4DZu/arCQFV5yToT+ZeiuWehCIulMt62QvmVKv2wThW0X0XAJ0/M
p8RC+GNTmCsnQzlJ4O9Eevg7e4SomWUgE73nxipvHWIVnAhvU2Lxq7ZJuNQ/DDersRBgAXRLFfGb
ubGlZ62TNPtCdbw3lbZA0dP3GxbJzXqIs5syV90z675P2w0UMmFsZ4e8bjlOVBytg46XwONe2qCZ
qgznqqC8NlrRRvcyOudOgsQM8jnLNirnFVLgPLN2iRQH2PzgIHtVbro8ZvpJE8F14NdqRVCs6IRm
raOQL0fZQhNyZdRUPJXMuO/y0jmaQylIfyVyvKwe3RG3iG37LpxN9z7qa/yaahXeRmbzEpDwGcP8
eshdAJAj/l1IekRo665YMEBFx0bzTtkos03jY6EqQMpPWKJjJs1xnbWIaZtObB23fB9Sck0LQquh
DQqMEeTUXtla1W0tJXtFskbMyrAEpFTBFlYolGv2Yzpo76w+WVUSdrTB0LfrPenxdXuKzhllpgYK
Raq1Hxbm9aUr4E4linVVGjgnbXxE0+gfGNOoR70J4M8yyQgUBmFwJRt/C2ilIQa2LhbGnu6islaK
8BWKaL+JKbCWjdwRjV7Tg8eJg+xQkzBUq6+UMKB1olkPgiCDkUgwu9CCj8FQP6Kiz+5li2g/M/N6
ZeXail1Ou64HauWTmEbI7uiOoXPfJZMnjLHTEyhCOv+ql7iiO5PzSk6HrdFzfzs0374dZjcxNklH
63Zh5RTrSOIzRWYE6SVY6lZ3rzfqx2hl+omRIqaC0HR08cVrjON8gacUvVpZviSRKdaQ7+ylIvE6
VRGyEna2uAnexxqziWskTD+h5UpPvOQbPQcjiLLxzepoJUTDi9/Zw2KsdWyj+pviNO46V0B+ukB5
q7uh+ETdHtxGaioXRZH1G7+SFJsCBSWXlFe2Qz6FZnWvcDnYSagRD2GIgEaxPzUvsDatksZna8or
twy5tnMNCbFqP2C7SVdABMgM9RCUE1eG8JMRQwfUISOVLJOpl5gUabksCvcrpdSW9t2WeNPxKgmy
W7uMj5RjgQgjaCUSINaSZzfkbAjUI5PsfopU7h2f93DlLtepe2amuUUacIvt0UJzfs3pz0LchszM
3vv8j+uhvM9VqX/CViza/LkDtLUSTqBuugQxa8IPqWjJsYvw60jebuUPT7rZPrtdqmySYVj3yOoh
ADY3qZkeO8Dra0MZieAq0mDnTCIareSobYRh8KHNp9bM1UPpPY8j7aPExoRZPQnmOwsd8xcMZv3o
SKJ1ROTd6l64zqUXbZymrlYd1gOZTEVyVeFHyLWT04Q76D39tehhB4Wi4gwxTKQNH44jDYDhivnM
omzlL5HjUC5J4q4D4hE8EqFbA3BESL5xLcZsX0tJFnbXZPtSsCK0dEEkssZR7ueai+936GDqWZuh
7LqTV2C+cWgybwqaNqELmyhsIApGxElMIz9HYIO3MKGwuyE8gNHFFjRle1ETqvVaQA5a6MgtF77q
/1L8+tMf2xF96G3bGYCAcfFyQKGUETFcZASXmRn4J2PUH021IOp3iONjoxgHY3gvq0K5TrBHoFNL
Tp2iwIlPoWDQlFvkJkRWSMvbpGSwZGhAadN6y7bFwFXL6ojzEtMn9f5nxsej5ab4/FV21GwQ/8He
eSw3rmZZ91U6ao4KeDOoCQw9KcqbCUJKSfDe4+l7AXn/yry3+q/omveEQcrQAfjMOXuvjZeSwUqW
hNJTjOSOyrzbZkW0FfnG3ERBZazgYIil4kIUJyTuZiB6vob1QS3/LAv9dW7jo1UzvHW+/sGOGeIG
xVoLRRUtIkeLdZjBCbOR4AdnWUcL3FXmxRcXoFNNGDYhwnSr9PFWi7RwC2WVj1XMOyXPreNBKukF
j1yORxHqiMS3G1Cmt1Hy4LiJnsVmML303ffp6gsz0TcjoFnU9x25v0+9qJdOT6RDmkTka+q346Rs
acwlgAQ3FI8Um6zLE84RwakAvDTknDvz2L3R3eYC9Xmighi6nU/ms5ZJjwnQhNvAr8nQLOStGQ5Y
/viGCKXc1BbMGEkEPSv4Xl2ehrGx7oIIm0Wt2kVE6JSsE75uQH0asqJwfUytsTgdEjrKKRKwOCCz
T496hnEFBXhVHdAdt86Qsh7vtcTDulsgbcpGjyxwhr45uu/kCUAzhJxNUQn0MHNrsiUB+56Mk92G
wvXoS1djTi/JQJ6g8aZYc+JMSk9pC/y8EhLsI+rjUvjRNHpRcQmYcVpOW/xyXdQdtR5vTpkcVeFl
GhIDddnAVZ8KNREvzSuof7w8yvwAsfAKkIuvIU8GrEMEfTJ3bXMZ/Rua1lfw2N6YlcdBgN2QjjiE
lTFLd1E/PJlNiJh+MfbFNZASI4Eeo+x9oxLo7Ifd3tInV7MCFsxRaMBNvoYdMkvWTaUV4I8s5zvk
2FSG01BQ7TkQLwDFxos/QOFJaD7JMcv9mgT4KfIRO4afZT4TlGD4Hv1avolI2oT7wgBJXkQE/GSi
Wyr3qCQwWEeaQNwdE2qqLwHzJFxV5XxgVqIT3FVcgtGEErIBrlH6oM3LV1Pr9yR6SrbYmK5lhWj2
k1eUJsSiUJc41Xl7B3vZ2oRar+3GwPwIs+QBX02CsS0WcYLBNG9StPqBpN2HxjP0EJJuDPDSdVrq
nlRGp0w7G/COgrDaRh3l4Ek4CsM8nIA2v4mToBOkybolaFmKMZoWeRLeYeI8GsVMjpsf0LUnhCaa
GJQruUKBJhl0fYfekTqMMNlVVpR4D5DoyZzM77rSJafMdARkPULRcDr3yADA5IQOsrJpW2PnDDHr
g5Us95FwtWS9QvjGXGzK9Z7s+JLNaScAIdD3cmNpJzYX7BlW09Zh5FDtUrNA6vuCZJuFemEVRzmi
mZ6ZsEI19T5idDDMPSP6YzabLlm/01Gsr8koWps0G37MnfpNxC4ybCRAwHFjJ1PPLb5eWFo9wOze
2lSQJfQFbF1oqEMH37+IC0chqIhOYdkd0e+co27Y5pCVXDEUdDuIRPTcyjICMfgpzXDtxvFgsQ5i
VZVu52YC0eAHnPfWwCI8wVM8dlDcWnE3xpl6i+wc0QuN0HBHVMwr8XaXRgvqCwYcpCRhLcAJlRbN
Pdr6sry0bKAlU8xJOx43artsTeDJxchZM8w2brOwlUrdrDj7zccQzD0Ymv3ol3exMW0LScW5DL+o
U8aSYmwTu6k+nFIS1gLakm6sy09TJX0ac5C6pRazWTAwr5WakiHKR6Svqy9Vgfa8Q3OQipgvBTSH
jjkwfUpzhcWy3o4dSgLsuiPv/yDP3SPkVeOQx9dOVJYVuh46Zp6955lxgusFQtTCUAYAJbM7SeuP
1OF1uydOpuMsHGRina00ux8784dmasNLYVrPVQ0cr1HSzygWdNfvkLSz3N2NEI6cVL3UiSY/pbXx
3KDsoUEK+yXQyeXNZTfMldwR2gbz+Iguya+CnZTHT2WrZvdNi72H4EQcN4id4kh4zGPyZRsRk3kx
ZZ5oUkXPpflZD+vKE8eUHHmOpa7FnDlFg9UEabU/IlDVWQ/UEzRmE2GaA/RrkkK3F5TLoAzwXkD4
b8sJb0Y+OgbIDvINYD8FhjXhsYJQkJLFUesdHGWVhY4MMs0JiNN2jToWvD64lZlvNuQ00YdJmXKh
brPNsEXKm4hVJHuecUQUmk+qUkA+KPhPkxjIniVHiEtmoBqaMvtDDph2Q4KDPmjx6k5w17zUPCUi
xA3gbtpzxnYpJnLSKVClYWtexNxI2OaeyAJTbLOdEmmiXdMWG2tcsnpMYDBwb5UwpvqmXcCLKZsP
RrKUpCfMldomzFIgNtkEOnUeUjyvsw4tkV1ybzbbLGLUzLJpNzXxbabjgw2tcc9FTWS9D+Y1bo2b
3M/8jTkqgqPrIrayur+NUepiRccPYqh0TmrUaaSjx1AsWi44zsCNFDH6B7kmHUh3CDf+lD7hpGKY
Z9IawD8AT4Is0Jihf6iLu3FonszoLlRbsjqgpnVBUjgJmOI81vccjTpodBu1rmAFHDzVRHsMubXV
O7THrQGhoMCviFP3KSyb0KPvfSvJgb5FUZZvDRUvhAS2vKvRSkuzBFhVzpDT+SxmpFqWXdJyJyP8
TvkunUqYkJRHyVc06B/077fLW9zHevemUeUi0y19rCHPiPHU7jSwmiQg4u/z8xrj24vsk3JpWKcI
mrIGFSCpWu34XVVCcvB9HHtMEXcyWxBbCVB3qwHGCB8bsjZzSEut37CvQF7ehBfwjrOtjT05Ht2M
Bq/umAa6x1nuXjIJ90PBt3fTzvVFHKOlIwAjRtLyxoPEnGPAVO5jc+nB6kbgSqj6M2G66aqi3jRg
Ql0gZ6WdK1LgGV2cHk2p/T9t8df/Bi0ry6b+b7XFl6+P+r1J/gSV/eOf/hAXW9rfocyqqgYkTxfR
CfN8CzLgH3+DkojuGDqsrhimZCgoe3+JixXExYq8cF4tHb2v8pu4WPxPxMSSbPCCv1NkRROAiyap
imWI2Od5a38WE6cEbIiTH/anvFfbEfsJUJXzqpLyl1Lneu/XzX/+s2CpkFtrVfXfPw1XLylDQcFl
7EpKFm/W1yrWXvT6n5h8iZgzInUqM2Kz01t/CflJl7gfQx622OtsWCREpAxPhVnI+3weAL0rVG7h
jb1Sp9vzXCVlfoAaOclCBKKTMhSXFbTv9w5FLXgqKgwRpnG963EVEDWl9PN2sMoH30QtuEQY1WQZ
tWQatWQbZUvIkbbEHdVL8NFQE4Hkk4WUxv0T1YB9uoQkWYvQB9qddigJspCVmiAbH+JDWdA4rn0B
m1kgukH2ZJC/NAwwBdQlkqmjpVxOhDRpInFNCblN2RLglLVEOXVkOmGfh5igs2lmwuN12DXKyYaN
eO4gpThbSzRUsoRE+aaBOm0JjmqjGZ8EKg51wpoYS43mNhtjCZuKl9iptsyf5DjYNbrW7VWh/x7U
EEbJkN8nBGgSQ0N8lb8EWSECDZdgK1rRTwEHyjPMQ7JEXxXKYO7GJQ5L2pF5WWKz2uRDfkE8DX+D
9Kx8idHKp09/idXqTQK21CVqC+7gCR78kxVkllOwyPL6+iEnnasNLNFRwZWfp0gcgfik1xprzLZr
N/MS7lWT8tXH0v2sFxpaknLbGNntXJqvSKSJrFgiwvIA83bdYd2hUAWMhiSxES+KSbKYskSMKZby
o4+qyQNZ0pJmpr6xT0lcfwBhk+pPJLeQe76Elqki/spuCTKDJuHEkAwEg5INBlHwQSd2Cyxu1Jm0
idJCyVA5CVx4Nsqotaz3Xid2Ki9DmXmS1O6y9V1J/FH0fY7t8F0wwmaTilnp4l63WYVUJ7NPM1fl
goSvibGLjS1HryhvyszSXeLLcfZJYeVFunpDpIJ+yDSiAxSq6lmrkKuC/rYfzMIL9OIJLwA5f8RS
bLq+H8jQFvZ6pnjsET21qmJHnrW7cYLSFgCPk9NQRTc/cQmM9aGsamSzxtBwthUBkbI+VBddjD1R
Di9ZMLPDTYWdpMedw1sNXakyPtI6+wirzi3UCu2matzFbfoliksLXNt3ObsnXYPwIqjvObvhBQOn
ef267df2RMF8UubyPaW9VXtFdoSFR0cOyC0WHFsO0rckTDxRGj8wRr+GY1XvCP0lfbLN382S4J0G
yqWgwD4oKat3A8dKkCsCKNujYH2MUnm/jK826HiLg6ZicsjPVjWMu7YjkcaXe1sYVHELubE8tn70
rSfZHcOjN1uAQAryWLyFJSboxHEPoQziy1M75UHOy4c6yf2dIMJPXrQnP28MARm9+hxlE0g7Iuzj
Wr9NWsFiYYJnX2vI85E6bIK6TMqQEF2NpN8O2HSZ1sXjjK3AqQP1MBZcE0Y8Jm6dLwa57hwryUOb
oVnh6sI/umEAUDTpTigQ+3eZk8mSeqwET8F7ps10P+BfzguyN0Vfkx5TlP1udAhYamw0BU6IGA/T
CXn9ls/yOQdY/pRsxLzKakyWq11Xqdjsxit8TAomQWPsjEyJHCN5xD9XYs8sFRBYGoQn84PwgOFU
s6M2IamJfmNgbzbvCuwAEG3lxbtseFqH51IDTBDh0qbTwA4pMSdP0IjXxR063VKKyG/8SsOH6ZYi
Dipdjl9VC21oyW4pIFuepTDF/HbSnFBFtJ+ZhA2Zy1pv/iozbaezKtw2o5F7sqq+lf7oNN2ZNHB2
loqLsa90oT6CCsq0q8qOS6J+HdWkIMsD28cm0bKLUkd3kt45FUp0hz6Bxspa+OhUkwDdUoL7oTZk
cPkYSEGqRG5pWtfcd/1eCA5pgRO9XTT4hsqGUph0jyIiQTedgQBM3MgzFCqFYqwzxf5mubTGuWOn
qOmgaONPOUPjoamHepZDqts5yWKF8FUN/QsDEj+NwW900gkS3WdZwI2ypFNNKwdYHYNuqKa3lkhQ
d1CcrBjyRj18RzKCvjyrv0Idm27rD0yVAFP9iXzHJHyIW+zW1FDcQgrg8ertN22aEQaJiUjMUE+R
VqJnk7zEoDHdCtAs9WUXlqDEonxofs9txuYNZTA4qWDftOz2M0K2BRAmuBf5dlPtRjQE/aLQMXWm
MSyA1Ekfwyjf1dN0ogvS7cN+yk+9v4E0RktKTp9g1UqHPFH6bZuTsRtH05UF+GMlYpLzY4trh7Kj
NqPwn3xgtDqL6mnwzy1sNpoZXMgIExON2Lt2NMh//LKivGGpLrB2AKIpzurRIn/Fy83xFXSZiGBS
efcr31E7njswum8k/gZWmgimsz6jO49up+zJlAMIYenVUOcKUmQawJjXv7V0NDamgpS3hwXnh2zn
QN7c8ZS4ARIGvUGMr5EI048NyykZKuHUw7kUSxzxFcF4O5VYCLgdW/54sZ5X0xELFm5VZIZN7fYl
ooAsBVIOE41uZkd4VIShHZ9i45aS9FX1kLBVariDXr5klRZBXcq/rV5yEKZV25YlHeJ3Np8WnKe+
aSYSKPvhSK/EEWt69ir8FlYXkEYAxbHpor9gVmyTdAY21OTHKCB4L0oWzErksauyHDDJV9aRDduX
EFZGjuFLWTgVTTTsWnN8JwFstM2iMTa9MnwFB0EqjF2TJ5YLoOFVhnW/HRujg8Jg6nabqiWTPbbS
Ulqi7jHzO2lSfUjslOAetDtf0JOTIGbHojFvphZEx0xEl9sFIpAKQXIxy1uuSmjBRJbmjlrmdmrF
1mk4WBS56RiZagmdj3JqqmAY4PuLEV5WX13HgKEoBdv/iF4yYxkoI+oJl0pTOFEqrDio4eNta2TF
uQ3J/JBymii6yAmEUQlASvZlTEpCh6NjLNqJQ/SZcySrWUbfPWXD3pgiCHCpRUzn6E/UBWlYmFpA
XVcAsKYLMo0fqIoAcyihBoYXw02yU17XIlfIoWtZbUSR2koz5KlLIYXK2SjeCgufXK2A7te6RNpQ
HN7luBxOmlAuhhcWDKrenTkHWIOk+wqjm1dRobfLvP80muRzjsWPpjbuIeOlTqmOS9hP91aFs+lN
C0ywjnOwNczvnqZNj3Qu450Od+Jc+8qDhYvaLWg4gw6nOtB/qshGcDAt2FN8/X3KTT2FW+YwYr2j
4pgr3Q+5DbALkm2VkaqzdM0fsswsb8nihFm3N3H+22pOmzewTKhQERwGiYl8DsoeYABlklkJulNj
jBsd7yzKdqMGxxMJ4CaIGaKGeaPl4rDVDNAw07BQPGbW9MEs9A+kKN5gi79guKEcpajFTkyh7ObM
a6JP/mwYU74m9OASFzQvZiJsKBsR46wLWe+IJUSlsKg6uhOsbBQ9RImJ9oZBOSpPYgwNGdXGl2hB
028Wk8V6r5NBB2iitJcFEm4Lg7Dd0RgQfISaQitreBamTNgOyXRS0VUsyAEIPFG7m+Kp2w9Mm3hr
0nwbi72Axj2+jFmiEDm3LNsNS7DZOZZEY5D/IwT+mUTt0Y37UtsMoHJisIA7JopT3RjtMSX+aNf4
8+0U9/5uTHzDHkTjMBqtYieAcZALG3dpX5J3DpVy78eV+JSZyjWmITdKBLUnMjAkOTa8SaLiPInK
sYNZea5885wxkHRScWqKWbyO1KAVaQpPnaK/YmkjEFf1/V0yFg9VM5tH6Pf3mlWSPp8bOzm7a0Rz
vs5wFzxQX9WGiqWPbx7PXCTrQJZF39gMJlDbThfuxWxAiMnOYpP3gLBSUXpuZa9n5WbXcDAvg5wX
pKaeAvzjzmyyOF3zprM/J1H/5Wdmkv6IAlYclLT7Q2n2C72i8ynV/AqgFkvDpeM27Ja+82FNoRbT
PMGv9s/H9PEi/EnL/kHGvNRnU+XlefD9M3V5XnLG1psiCyYy8Hr5GFTKewRc2tFzFXeWUBHRZ1nZ
cpd4xcPPx231HuCg+ykflxJhCQNcVM904tyVv7vqytebCJ6J0NNZ61TQ/kcGcm2nxYljjBneqlXq
mKk+IWDrXQKNTLAHzfOqhF3lbb9uhkUDtz6cBNpzqlZvuoYcxy6Ad7WqJNfnWG9EBnY2IMb2149+
vkBdEbDah3RqFsX0+mz+0ikGOYi49tcPLTWiMQ5T9pcamrUWqt5V7FdbwbwPpNNvMuLfVLOrrKxa
KvRTKNysElM2HpRY22bUtyP1gwSu+cHq/IyvS5jZoqI7d9bgapKn2W9UwE0PSJ/wUCwiQhgLNebF
5ftfRKP6KUFzIBPDzYrRp7tBihpHaTlU670xU2bJi4AkMmsfVm27YpEquN4rRY1GsjoaL8CqCKda
bG/6IgIv4GpB8DXRHi9p6cwL+BgQDx6SfEl7XB/LNQHjrE/oswqKMwYF7JHF5rXeU+uk22lg2brF
EtYsN+s9IPBwAOXxtV/+1Bfdts3Cnwnd68kH0q05RObi9OxpGzgSjgK693zagLWO5K0fnIO0nIig
VmLiUbxo+cTk1xGvYGljuRuILwtjSd+CzasO643WE+pWQscDve0jJiP0fP3RPBsFuCwS7JP8Eb0S
8Yo0jcuDuehspeXe+jDHYO6NSvepUe/eWFN7+y/yy596y0XSSZZD5CbW4pBdJPPW6h9b1fPr4/Vm
fTgL/sIsyS3EbxnbcNT0aO3n7sQmzt+sJ47AlgFwXYb4SMe7Wi+fYP1A62cZ78iTwKqnxBnHZA1O
lJdIOIaJ8hCj3trqZNJV1dwcDMFoDlha0xqBBdkavnynqQMUmG4JHI2X/NF0uUm4UABVQTfKF6n/
esM1/ce9SW8Z8H89Xn8trj+kyzV41sQe+Z//p4uJiPJpedx2claDVuPur/+eG4XMHvFrLEc+W6Vy
3v28q1YWsjapY22y/DDuAbVkdcQ4/+svexxA+AG5We+tf9gD4CZoldMmWHJFZfI+So20z/URIIQ/
AkYtpX6putbw1p/XCaU2TwR2CjWl1NxSyCM3Luj0KSxnf0aSruGkf3moSzmJGIwqWNnw6f96ekVp
BBe3C+6L5btdv9Zf2a7rz4blF+u9/+lPUBJquz5nRF/NqJSZOA0Lwpg9Iah1/I3hss1Ws5sCvhtz
XzVQPwtwXKypbsaqvl/vVpN8joyYpILxWkw0mM1Vhv/LcvrTe0gZlyykajG0FrfCejS75Uj9dnc1
npo1O+kIPgv2SQZJpnBuCytXd4kaO2vioqL3plcK4jNTX3n49fbXh9GS0bjeW2/CskIEAFJTXsaj
NffxZwTkr8f+MIlbsxOIa6RZVS03672c8XPs5WhHmbh2ZSDZPz/7+kutAZBPfGFOE2VihzdR+1tG
FS6gsN6td0dBKRxq2q2TLoNvBqnnEC/31odjULMDzZYk0xaG3iD1+1/GSIVZn7Fp8UgOknABPPjX
k3A5J9eM3PWc1Ki/baRBvf52fq9324hSaELqHpkxHOBSCZNtKknH3/5uPbPFVroQcKJsfjv517/5
9RqVhLA5z0p660s2L/gErqd8XNJZUWX9fIPrvzT6AlSAKVTSuBtmF3g70rs1cXnNWQ6XefAvD9df
YB42nP+jvfyvOjKKaEFH+f/TXi5fw3/t3jO6glH99XvWH2CX5T//aMsY4t91CVq5roq6rP2zJWPI
f+eyoiioyTpAGGmBuvw/3guNHCgsZFMZS0NHU6RfvBf57zpMUtNSFGNJAhSV/6RFoyl/btCopmHw
TLpJzJ8IBkHnPfxOe1HRDwWVacy7RXuTRDr1ObLB0Bw+Vqd0B8B/ljcVlH3ZQ9PfPbTv6g+opk/A
S9Dh0uz0oVLNbG2e2/LY+VuYuAy27GQ0JHfizordDO0n9oXHBHJwvidhN90CH9nk77Rb0KdIMdBt
N3yUPquj5ZLF7bLd+O2YXIt0Cor8v/IuuxZR3jb/+Ju0RBX+/PH+8x9/035+RjQKlqYxUugWgYq/
f8bal7FQgRLGD2Y8dZJ0F3ZAXpYNyaD+6OruWxCEgXEoetUi6e7fv7hqLd/gX19d5UgZmioaoqb8
5dWLzB+rOFDmnfloDUfxu7irb+A+iG/tJvtmuswJTPw27tW7AmXmkRpIci9szLN1bxrOfFOVnnor
1WfpxID8nl3mfXJLpl1ziUCH3Xal03hka72bKqV9W7s3YgiSLrbhH8VTeFKu4rY0vyDCwPez5qfk
i5lfv6qv6C0JCgApzf8ABrWh0tsUlNmrP2aPPQIRZa8tFBXPsFzY5chbpRoanYOyiNi/E0qMz5Eq
xY7gLLNyc8NlejHd+r66kLclHZuteVDc7K14RL0X/ogf+Dib8Tn/nrdQeqMNaDh4zIB57f49MHfD
qbuh7G9u4q9pl7mdO4Oq9el12N/ykVZLawFKEPYAC5sPhEgdKZFu9kEBeFRdYV+/9QRByl79aAJF
VwlO8Rjqgwfso9aj32zT+Ha6zqAFz4HukEVQ3CZfgQo9xhbOxYO2ncnGs/PnbHgQiVOJkUPawWl6
yd/1zZA4PvXk75ia3FnX971EgonHHj9YgL6bAY0H4M8AIQvsVpKDX3p4rcp5ZrGGAC4Xb1Vxg6bZ
uK3fhqP+UVz9m7a4yPfs3Gnr9cUuCpywday7aCtcMH5cgkM/74KrfkRgMrk6aVyKU76nhwpacGiH
t4VLKI9HREG3QbgsUvT+gL2f9JuQuUF3Ncd/kRsisK/RQxuezSOpyMbg5Ox9vdbLj/NW3YQe7CVc
v/B+tFfp0z/j9dXP8wv2YcvNbnwnfQvP8pnYL2HfQO7NHeQplF19yvxb4zSy3CQp/Wg+WzFAPTgt
bvpV36JvGi8yuJcb8ZXsdO0u2Bs1vSwIQcT3QrR0LGCuEHNpojqGcaIbJu/i925fO9mNfEdYsfkY
fOiXNUzQjp79R/OWUj6nNqLO1kWLp+z1S3Yz7AlFy5STcUtMJQaDcpd/DJu8dOJdtUtfLLgmtrUL
aTqerav1NFdw97cAnkGDOhlXh51+9ReE/N1Rjh8IAqpu8EHeNEuXEDEOKwkihQ/DC7wG41bFdELU
LwQVN/Xad30XURyyJZi5zuw16BY31q12CDo7PDelo2ewove4zCm0/qgdljLyTt/knrHvY0zvfJG2
NGzj87Tzyx30vNqpLwAFqVCfk9iREMM8UqOcRFS8VA+cTnf7gGWvLX2mj0Re7pRXZN0gk+1pN17Z
/OhbFpfaPn5s3yZ3N+3CR5XKDdIMtL43BvAP0iYe/PfmW2gOABflc0+m0jPrdo8ylXXbITKC5Lqd
6r2I5nY7BpQ1bfNG6R6t2/7cvpIVo9vG63QnPotuRvnfFu+kG6Kv/v34yPT359HRlGRGaDjHCK4V
knD/PDbL6YxATKcV1AAsySm1omp/NqPG/fcv8y+D8PIymoVAAR2CKet/SbOta2HqRF+qdpo0PCwv
YU3jfgrGL+rva4QJlfuKKf6fa4H/Yd6R5X+dXU1JlUUTJYZqmKolMo3/PvMoQaViuG3gSAsLdCzy
PVKM4l3JutXOdUV4k7TGpgC/8cunOLCQJpjv9LmJgEel19Pa2Kvl9FD4fr+bTZlLjQ7QptMoLUaK
eCLS5GYMEOkiTmg2kkLPClmj6pkjxPValsrNDEfHTqrm0o4MGSkAbphDR2wX8U0+K9VJHSbTVWLQ
kPrGr5rmSS4JNYIeTVlO7Ihqygt6feZ812bscznLaTtOO1npwSgVj/QiuvtAa+SzlebHKqaqmiWE
PEBFK/dW25xok0XUzpnIfLF8tfpiT7k2DTJjk2o/umBwKrIoqDULJB9hMSsy5M3tQcwSaauI8x72
NvIkTIRLERfRnt+hgqid0kJMPiCXZqnRX6Ocj8BhbxkOTDu3mk1VS8KhEDFZoOl6lstacCGkly4G
1u+ubpOLPODdigrxPtF99Rz1lUrYIgkZhSzjgtIEWqzTTqtquMpEE4hTthmjJdOKSDTepPktP4QS
cEmylEaXU44U4LRdMoclxZaFGbFmlZmbUSTaS4axoMSicW4b40wDH5+jODDxGerNVCsTLiL1Y7BG
9WK12MRpYvp08nZ9LyPcaLVmT8uEWM74qhTCD0vmneXa/KCBNeP92oWZfdaF6u+0Umc+m+WbuG/J
MaEX1hY6RrhIfyIMaYaRxUQB0Q+FM4uEHjGcVAOWnnX9XpuDe7Gs0WiAokbMKkzaVRo/q1GDpi8o
Wxhsz6NePpUj26ubTgwzrxmbuzHM72M/eJCj5jM2R1wQnMCz2pGC1Dwv99XBk4bIRHYrxBstIxBq
XBwhosBHTNQdbJ0hB21Hnw3vmgrtU8Z2lsWxQqhIcAlL7TGS57MgiNgDLI60KR+KuBC2QqoKJFIT
md5TllVwfCG/GJ7yErKuORSUHQJzI4xQU1NXFNKHsZQ/fYNEsCmvGfiosorJVki6CaQnXqmw06+I
jwN7YmZoLwSTwXiHAs23k85naaKbWwabbriniOO0VLFMOXHLLgU7F25zMjaWYyYClB7TLysNNgZ2
BiXU3CE3vHqmW2dWO/VKtAYzqEWHEMVIgfeHOBMz6xxNQs040seuyRaNoA1RkJbetF5wDDKjEhZe
ufYV43ca7+deg4fSP5rNcEIRCbRI3Kjl0imf8d1BQGWJ1o+RfsyMWj8qQaBuwdXeTKFGIlTgG7KH
ZZpJo+6Uky8Ql0Fv/TIrVE8APWmt6qcIanoXInm1x70w0Wntdg24bjpK0kguXVWjAQj8rVoEAaqJ
uHYKjXZG0MwwqRj5KIaSVGX2cgCKrz9IXQOMEakRAv7cMyUxOkxFtDEaQT6sN/okg06OatZsstWG
26o1r37b504uaA1tGppr6gSOaAjFBAbNkBwM/T1OFoXL+qPIfAYSBFchyrAvLX+khVby814v/+CK
iI+zRmSiEVCjzSqVhASAIHbYpgyfo5X6MADkL2DQwkaW+8i7guWj+X8z3zW0AQ2HJUC5M93mXMD1
sKNtj8+Nk/dVfpx38mtceo1bn9PzeJbeyRtqjjAadcu1gJXZjN3J63TPtV+dxtAZv+ut5NH1JPXx
Yr7axW0IMfIVwrh6E743J3UzQvaw/UvxkR1Zsos2xjL5hWOkv5jH5p6sEOxPtmEwzt8Y5dZAMaPh
IIRMxRe1KBkG1a0bx7iIV0Rc8OIC9BxAIuE+BfaC9zD20q2JeZb2iV2/SrA3jROtMf7NYIHo0N3S
Psyr+Wnuq6+ofw0RyMau2tKz5h/7b+j42hNA/47GoS1YTp6w6nGWQO2LtTWeigcW8sHVtMcnY2ts
xZtoaxAgwSSWs9BQvtO3Od4SaPwxv8WEJmyrxiuAeS8tNZbNrqS7AB12UsVWZbNIyQ8FSoeeAdRy
zPhC1bfWtrp0BGQZ0JQfEIBsFFZXg6c0R0nd0+ybuNrao+U74hkMFmOpRuSaii/GLpExUWLCz4B2
xxv0qyYhFXeT24qx6Zh5gxeZm5DIpoEBgfnEIdZorNyG77D0gue03YLxZ3F6MXnnKIX3sExrcOVb
BWvn4BQTOc12qjkCLJ0bGSLWnpszJp+C9BXf1syNWdm6O7zwHSdcX9MWiXOtgEFzTJJXug09Zxq+
We9NMLyRiHnRbcG3xeryC8KiAgv6AyAnh6cCX+eRAYIXLb2x9EOCOSqgfXo39PvRehUuDGHWRdMO
+ivern7HaZEJe77ihbcZ3BsX9bOHaZd4bMlamgqLXY7QFtaM5gOENrT58YUcev1T84Tb+cm/Yf/U
vNZYqfO79gHvEK8dvLH0fclP5b7/ZE9GxpT6pWyii37O3rvCEaGBPw+P0ejA07EuXDaJ1xY7c6Ar
5RSP5aa+D9lq0bMm1MdWPjI2a7GLmgAhttWy3XSqxwXp6GqX5FFjqTq7oBn12CPbE/35c2/YAW0z
3v+B9yt2ZzletnEsoUAdQZsWbaRS5AHZRrWtHqXQpqbIx+Sp+/5aSC/Yl4FQmuYp0Nwo8ajI8iUa
bCQvxAFoJ4kIvqN/IJ98iRQvOFIbnqNKXA4Q2FD/qUuegnmb6WTobtPuKHyouRfdBdKumzFEbCsW
YhfrZnEdkEswnsd9f0qAOAYbzlzVRoxZbetjl2zGA9X7c0zqD8KBT6DQ8YtondKTDwbXsHUf9KkN
Zr/4qCvbZzdnh6xNAtsg1NGmMQ1VExBtDR1ph5b7o/uIPXUHKrM5hSQo2obpJi/pttUdFgNswECr
PqHTT27arQ9cktAwlPOI0fDiwqc2HfLoDfYMujecSA5GNDifIcZxsjM0Yy/4b/bOYzl2JNuyv9L2
xo00uEO39etBKIQmgxGUExjJS0Jrja/vBVbms8wss6ru+ZvQLuUNAbj7OWfvtd8qhcJlOaCHulCR
MxWIb53LKc+52eCsn0mq1gbXXmq7eileSOVxzcfEpZnzmgKHYPvYJadwoz1m9BXW1vEAiGu69uka
0Rdi//vkQj3z2myimQ6hn2KWMX9VkMqztH4RpOVv0zOIy5fuBT/2G8/hQqVrZ9tgT3gSUdEFzxox
47Qm0hk1350vlmO1VJkiArQ8ew+YOckipKpDw7KiLG8e6jvltTwYV0ajzYsNP3XxFuzqA2bYNceE
izcQxE6xvRy6azRubJdpj7dzNrDK1+kTW2hzP8ttjsMmP/tncsu0xYic50SujHPHcE3nuPVYfLQr
4zSLD27aOXyMD/5Wl3tf2+uMc0joGRFBbJP4WDS7Qr03L/rJuuZP6M7mzHSyG3yksGg3t9UvSgOk
WodqJ16YCk13lHRndhhaIdSI4UfjLBq5cHxyfhc1YUItVpplmq4K0qF3s8jzBRQaWlkYpi9CW2vM
5+/ss9FAct9Yisv0PlC2xOLxPhFRynPJ44s6HHN9J6MlRSpOGK/dZCfaKuRCR/mRqlL8qssPThUO
uq7mqF+CGxNLeyE29kW6zhXXDGNH7EAAVEHWkrQVglRZVLtAIk1bkFQDMmJtO+fyXAVsSGeSTtGH
2t8ddv8dl53/PH2m559lTl/7+/SN7krP9PcNaQDHImc93qduvo8vfggZ8AM/Z2Rf/P4UvmEF6pPD
NE8YUc0cbJKCE/PE4k8wpx8fvP7WEtbiK99IcFzbWufRPeuPg+YvcW7xvruO6+BTPCOipCLoT8kr
HQjtRdzRAOm0hbhLdtOmvAjoipznLv4b+xKLgaa9O90GWcxd/hAiXPpsNn69TJ9VMracFZ4XHNyU
zRFbGesjYhH2YRN75ONQPPrEbpnL2HCd2YUCfGEjWO1eo7fGWsZ3ULDHy/DieeCZ6YYtm53GFRuB
osB9u57ahffmA8qGMiHWxUf5mL/l3lF/KsKH6N4uDg4j+230Oh88UVm9D+ihGYeEKxTj8T4CW7ad
2CiexRYzidsuR4LRaIhsVZc4rmrRnkJEf5Vbyk37ZRurBkOOsfJLJJ2L9tW+qtPZu2ZbNHCv7Rfu
yYJTwK0jR5e5bLXiRvHP6jp9BNvn3ecXZJ4PxXHODXlHMV9+a5v2raC/8T3u03epXdJwWVPUTbzs
3aHHbMghnKSARXjBen/fqa4R7pp9uB7f9HZVPrKqI9fM+Kv0xs74xa+MUdlFtK39hDsRvYVzR0Pp
XduoX3wiUEL5+Okwz630wfUQtJTgEJZEqtC9PBgPOKqMYBMkl/SLOGwCLtMvA3N9fJmcQyw2ytrO
Npp19hHi3Xcm6RjUCeqbTrsl0T+6SaU4IXLDf5lMpAExG5S+zmuU3XSwKGyR/S7KXjJ3Q17EEYgI
ZQr1tYW8tI482mpCLvTTSIH+kuEEPVXad119Vogy7nlOOH9xons7/4szTHaHTjy8gC32/GXCKWFv
NWuiPpx4WbwyROWN07883sZsb5Cqx6X/iIGb6zi4dUdEWp/9G1JYKCTTR/lF1YjQLyfI4rsGVc1G
gynR3tNLNp79YcGepWZL4Vr76TSu0mPqppwuVz3x0eeYY0ZVAC5xUfCJboWkmfzRc7hGTTSKjf5L
3XFEDF0k3v5BP5VbGn4sL+XaPyev2S5yA4SzH22xRjUf3EoEeFhGF+wUd7Zbnm37oLrDV/dln7kq
FX+Z3qZTcMo+nZt/15yIotQ/nF34VBH9u6R/Xj4N42bMvsV0P6JiTpaUXmO0ywCDVZvh07Kx7m0G
h1KGxFQudCAyxKBqy872JZqKEUW01Hmdh9Lw9xNVbGBY6qH3E3EYfr4hMAl0aaO4Kr7xdZOw20Jw
E4efDz8/9/Ovn1+zepSmWRzXLMqtODhDiMjp59vYsoq9N94nfoPyIQoutSpwFA8aYjR1EQasM01Z
6ysbYMMatQbRS5o/uGlhYvIcUs7y9tIyojuYNNzYKULKFC7cyrCIBnaCA3IQHhtSTJjcqbrpFHaQ
ySIaz8tKHcshY27ZYUJvDeywrQmBHQnWwlesBuMAIZ1AL7D9qjSjHIM+pxf46yZqXkVsEnPc1v1V
IDwO0yzZlJIOu+pw4G4YbK1KD65lIqtrXWv2Kvfsd4lamGN1AU4CSAtR9xgtSXsGAlGt+6SiaS69
dKOFQ/AUhhujxHyqRJbYYH7Ecq6RS4PYFKEBoqdVjnf1oeR0ZGsBduvIXlSDT7E2AMOBCHDQW/b1
Ip5opNj9IYgSotggRHQqjJeg1l5NfUKmPsssWhhURODAyleiBxTOe7uwDhabE5L5Q4e3TUxJw/mR
E3Kfe5ck9N5ga9T7hoCfLh8onyPWv3oyNjgm8GSiW7DyXUw+iyXvm0IlV0yfaInLNF6PYUolMnKo
AA2/83vnMUhBtkfINoPO3pNSeCR46sWMM7nreoU5WWPee9F70laIbRzxpRcJZVlnYxgdI5JCvVnq
oLhRqyevOslH9FGAck52gV12akBmecPD5F/SLDNewMrXSq5C22pesQDSXu5XYeTdSuMb8EOFgTB5
6oKEfbWMMb5UzneZWQdRI9iEe0TnJOMxIFhdI5ld99JWKH2nZ6Wxu20zaITEqsH3RCiwqKiGbFzH
QU+AuEcvr2ynxxKL5RYUKZAmBYC8D4CF4qp/Huf/TEqqU9SP0vFSOtBELVZk5ZlITnXhKMswkoCE
ArlVC9rTJBO4U4xqN4ZTD+3z0E7PiJyfuyw4IxVfdw5y2qrLnxvomP/43TQyvlV7F4uCxbqnfqef
Flr4iYbEvktMtUREqt4aVX/Jhhj/wRolvkJelgr8g8O1Q34AKWSt7fMIZthL/Zwb/R4Hf7QqMo6o
Wt48ZiVw3EzXOGv3zkc1rETofegmR+OwwymTc2AuUiYI0CAc/dVJxAu8DHJZdQZYDTiCGE8EofIb
HwvMUgaMUKIyBH2VkPtepf7uITBm2fZIRYcsys1FSDFTEztcWhdntJ6UqKdssirO0+prXPQf5L+G
nIo9d3ToB6XNDtknsrEWAFDUGYj8HstZkxRpLCmJSrUc1Em+CkKkbUQ8rRGfNFs7LE0SokJz3wk2
AMu/tYMeuJbmdtSlUdOhdFNUqBrtpq7BVSjhzYNAZeiCcEqBSdlump1MNMJEa6wbiSS9QuvoWyi+
lu3qko5eyASRJXKtjbAzKo/gAY15m98Wd7aTXcK+ehTlOLfJRlA3tUAL0jw4fY0yXe0fU72JFig6
qGQsHESkZOCnbUCS5YyTVcvfFgAkfJLh4UFeNF5ark6ZwbHnSGtUKMq7uH2O8oTzSMIshjU8PTrl
kwbanLo/erUah/FVBL1Lh2AV+fat66PjZJLzLQn0RC3s5gAkFkOHhM9QlHEVxaO8K5gDKmrebUxy
hBcJSNXYIQYa4f0VJTgthcR5LxMq1zxIH4c5wrXjvcIXVi3GARyXHpfngjZD03i4KPSV1rXPQOx+
iNjRwkyiaF2QV8VBeUBQQyaTfAsGDrJkE6vmgcSGM3ONbWHhibCb+ssZGNynRMYj8LYIM8tH8mD9
1D8tH3Lb2KVleVUd+zwUqLt7U1mEjdrv0qr6VUBTGtV330/ZTrMWC1iIrZ34IppNVvIaK5s6Zvpb
GcEpmRVXzBI48FDijK/vJsknxL5wsK/xHmUdfVJNkcempStSKXOtavcP4ZwIGEfhZY7UNhIDL3rJ
2HfIW9TRztWvonRDMgoba1xs63raNWa396JKPeQVwKxITR6GrnkFblzibQCi70ufYpkzEaj2S64o
70MHuSzQ7vwuOyCduOsHx+fdaOvFFFFKCizwClLvpA7MpW7wqQl7Yevh0cBjj9EEhwjnqMRa5U76
mA89Xypoq1V9d0Dk/ahaw6rOu2VcG8LF8JQwWu3p/nbSrVnNFqYd0+7otLOYIBl0o+kifibBN0Fc
lU3vkxEesMEoOzhQF1xFc8O5eCRlnSLabK4DjJOl11uXlut0Oeos8NJxNb2OV3ZLkP3ArNXXKas6
y3BrMtniUlt5YbHVNMUNCxp9WuKIZSiyHaiCQ2eHV4Xn/xTSPI/z+CW24oCdGCxIxUYmMsgzmdOT
CN6pqMvBwEgtpYUcaaxTlR5ugoLCnjQ4CkwP1EiotPkuiqg7JmAlqh+FG7yo3R1S7H0X2daKUNCO
t4TUlakXG425znKmQ+ihpDQ0x3c9dsixgAZDPFm8m1QI+7m906OmXduKUBZBCxEpy+FQTsOqR7EB
pg+i2yTrZa3y/pvetNEC6jIwGuR6EV8+6k26MwpyVyobQloLaK8k4MONevndlx1t3KRe9rcO49za
Rv5djhGlA26tWmItabtgPUGtHO3mWqc2fc2m2pEbtE2skB5EZVz6lC23mNpdCLow5iXCU2AdC9NT
VoXPZsPQKknCaznW3DG18SyHAltZnL7GnvrYV8HoGsC+mtB5Js6LRl83zJY4D6ZUDTbbN18AEdB1
iJSVIZDG6ikWEKHj92mTfpML+YICGViVSU/AnnvWhkweJkU5BMV0JV5G56SLERxcDLdxqvc3O8sh
WtniF/z76qRHtUsfHzYLQtRN5zUPfr3LE+vDlKG6qnF1+un4TVxzsLFRAoImMJe5rq/bgf6aIIma
lnNACCd4u3JOAbbKT6vE5SRMLomgRgLdEBG/ijcijcul7DKxzKR49NTWx4NEoaCjjsi9tiPgJLzG
KdwkBjQzSgRVUMkoO+6QQMwcRs9ZDUw0xp6+ht9YJ6lxMmBhIwN3gOjpAB2t82VDCJAbZt1dp20U
GzOlDFrNBeGn7+u01/c///rbp0OSkw6UU7iW8UfIZGgttNLY93bw5w8/X7Or0VmHqv/2Yyj/+VB2
3AEsWAQIFpzaPCFf1TbX9rWZfUI5qwEPOfCPVAXuT+k3eyPo6PAFPkWpoJCNkAivBqwWiKroaSZU
brM6vPP9fKfTdTISBL8xCZz/+NCOxUVJNWsDxNzc19GIMVcaubWXgWb+40MGMmTfvDpisPA9/fEh
RF4A1YwQ8P9SRf6IJA10sz9JEWlv0xXTjOxe9XoJ1cKIj0kZ6+7PtPu/I+H+XSScJsS/FQnuv6r6
a/yrQvDn1/5QCGq/OarEZqMDyjMczfqTStBAJcjXbcagcI35xh8aQUHwm7AsW866Bkub2Qp1TsDj
f/6HZv/m8NdUle+oulCF+f+jEQTjMGMa/qxhc1RDRbwsHBuim84S+1cdgywrAoVao9rWA5zAYFRO
+H65rxzGW1FV9cva56SXVRoJLSkNwcr0VgoDSO5NxDuxV958p3lo/VJdRU0UH7Ma0l/Yc7DE/IdL
1a5pgid5tKkH3F92a77p6eAdYMicq3wwNgBatb1nmDuh1vGudEwGMC9Rn1YHB1wUwbAw+HLCQuGV
dOkG+0G60uQ8EAm18Vq+eyL6qOw8QjQkWWlp+GcpNK28ip9AFcPyURyCbOqOQOjaKVixFDAKvUJX
LCnu7axpzljmb3ZBH8Toapf6s97hOcZboz6h7iSwPnbCZTCM3yEolw4ze4kiXiLzWDLh3zc6kyji
m2rXH9K7LnS8W5vpn0ofvZWaQ9Kbanf3JYwZYBH5rklYjhWgPQjO91bM8q/KMFqeKqg5udSiU1Qp
4apWAZXZuKRwXKGbGHMfJZye3aJJWJtSj4lC4ojp6SUxU36UupXfP45tlW6z3sXDmrmy5y8XJl0X
nJhIOecgoxx4Iz7jF7+g683ef6tMZgSBdcvLCAdjD5iMpX/PhEXJghC/HYHvrc7YBmrvssinhrG8
dzMEE0qlR7mYtQYkCMlnFfqMAG9fhxdknfEirqqO1nDiZx17snyD8xstVDhP7Rhtm17nHyXn/bpp
2iUw2WUe9YDThnRjFfzxxIsPyWwJc9rM1TQyM5r8IYedtcBdpy3rqmtgLrEHpSqD/vk3etNSYBJB
/rIjxGZOxNfSAQAUKguSv8atKnk5Kgflaj0gL+l0IvqqJ1UZeFPYnAglWP0YOgdH307t9JQFBa5V
eHe4ldjHRqu6NliS+9A7icmCdxw3x74X+UYfZb8aDVQFmqBgj+N+L2P8zWhj3LHj5e3SR2kND05V
mXBLCyYA8X60ndnXJZr11HNrFFx02G2OmJrCtYYBbipJ9jP2eTA9yYFLrdITl2t42MhEeksP8chk
7xvwyGt/KndawJBxcGzXh/2/oQhjzM/pnej5lcT5ytigWpq9ptyNYfySTXc5itoDPkhgSU2CuXoa
kHXQLBg4M8cOTqyyD7nmu/7DNF+KSHTXVnk2BMJT3tRpr7cKbyqQJlht9pEiJ8HyFLy0HHX2Wj9N
VOA+wiZqv3Uqc/w/Mn8qrXiD/x+bVdhn2wFU69IsM2OXi+qKUL452iiIGHXbG0FNADuUmX4lOtdM
m0tetdL14I2jB4WobKXNdEoSciADU12h/CrwYDOu0oalCOPYzb1ccx2mDn3BxQOnooN9qkgxbau0
OM5Gn6Cj0ZZoA61nvCxr+A2rIie/GU0J2rI30RiXCh7KOqySK8cW/8hDsZb+PY3FlpiUrL7aGuO6
scLQaXXJ2mvJubJ5SynL2i8z58QT2ZSvvcGP4To2NrFiIqVmSDVR2yV+woF7gDXmJQFaTXhQaG6Y
zYgOabVeXAYL9e6QQYvo0uQjBCq7TMfoV+4jJNT98hbDlF54Br2saUYURlVPR3pK2hUeXfot2aBw
EoWVKdotwcA2ugyv5322nWk7DmI/WUwIDAxIR3Lp0J9aAeWv1V3JjaMrD/oeTzUx3UluPylmzyVq
i+kSZ+u+V75iNX4E3WGvhNLttJSJc1DX6joDKVnmXzY5ooWXGQep0lIPwg9lSDNSDZMt3Unix2ui
HGQef1S1AgzDBz4Raisc/h0XNDGERsENVMn4Lm+AUOuBx306pCivWnuDbe8APi5dm/MPQV2ku5Rl
W38CIWCXiePGhlhRgtIkAFu+jrCrL7I3qVFf+JwkF8NIbYE07WbPorNeG5HZcClk+VrZZR79jhKD
xqKyyvYUC+dsp9T2fe8hk8gLb9NmVghZsofqkteIq0P/K1IAo7Tzohr+8oPuREeiWyJo6lZ41te1
jQ02U1LKHBOPdz3obtNBc479lmVLyZgB5/45VtEAmTB+SSyyv0OLotrMZedOmflaFyrQaGDDQBIZ
gw6ap8LVKCkZ03pdpbDHYTSKoxeC5Gm1Ltmksinv5cigJYOr4lfFBRlacWd1SnjMEri2darRY6qb
lUNM3dCq3Q7cpHK0/XKfEmh5qeoCrRK7ipIrJcowxbt0zXh2tIh5qhWS7BPav/DrkL0iMRA3wQCl
QH5PMjKOXsqTyCQtTRmW9ams6TBOMUtTw+2ZSZ3yJgy1dWm3hzofXlWftOt4MubLYJsGDa1MBiVp
l4HHnvetlnmME9VnnR4KnU9+bixZ6zgXKygLgtw8B2aLv2BATOMFH+z2c8gnPzak3XWo3juVCU4X
06ixu4ExtVrGm7YaiF/OwwdnamaBy4mY1srlaMYTDoPHuqyCTQoaBceaQmkz34wTouyugNJd9d56
gJ9OFKu/LmJ92urdgCQba4Q5iFdowY5rJs7Z8hhUONWTrMm67x3Ua5AFlnNCAjW1isEUQvUUDucW
O+lWmN6nrTM7QuFI47G38Qr0NdMsqPsOryeCiUjd0mN7aBS4mVp7tQbL1c1ELps+RL3jGO+TtG9s
Qx387RnrBPNx1UK6XNs6SoEm7roZXUFZDJtzbdfim41ZF2I8R+2oIMxsz2kkoPshnAobJs0irV41
reHCYLWNveJYi3jc6HZFCOIoPmCcPucY9I9EO/xsZaR5N3uJAkcpOCAZIFpWA7u5JebuiSrdTDO9
vQhwk/QNeqHRQWoTMqyMXutQxfMcMZuGhXVz9PqMfDbY9Dg6lzov7vJHCjbl9OGSQn8uFMqgXskN
rJmGQWrnXUVT/JQLAzOv3KsBwfcscpxNaHWwMAAqlO06KXZCrkwdhWjAEIi9MFxGZH1jxTbzI3gV
3tC2H5aqiQQKEXO/Y1NEhQ1J4K6qpUcXbHQeaCF82pN+NQuvuxdGtKnqyH5Is2veIOqh3q6ZIYb9
oacv5rTGMWdvTtkbH5DgMvaNG4e5dqK5BHCA1nQQoVvhfaGXLUPriRWVEAy9KlbSZIBd2ZqDjVj7
FXnZdI3z4zjU6rUd8MT53e3nA2ypxxF75bm36u6mA3CCa+l3W88vk7WpygmAgYcvpEL+HgLdN0z+
UqMX2UVR2Ohz1JioRwVrYMgLUWZQeovGwC2ismkb3o0tMT9jw1c3fgclil61dVN9CbFct8AoRpC3
yckFdu1JvCXl9GoOZNCLbFTWdduLhzl7yklT46YaI3KGON6omagR2c1fckhWzno1O4y0Loyg0W+x
z81Rl3m3zQNi0+GmShcj+YgFumU0HTTDo1C4fUUCStwgNIFzONG2Y8D0uufNlY3Cs/isC8dYyUFm
p0wlRdkvzBCBktxXZDujy0Sosw8n/B7mgJKjV+E9+qipu3KOcEBtmU9rhfdtcSztwH4QYupBYXSP
ScIQJdeqcakVYsOs8DJa8Z3V0uZRJgUmG7TazBdgz0DwLKe+ueEGI4IBpbU5hBbIdSLmQdL3redw
4Acw7GXhU+KPFYIRBrewboItW1y4Qe8s0CyL515lxBv0pcvAjd50mzNDIkJC0eaOWSe3jXSrCWuA
j7UyapkeOIeMMIGBXWsnnOyxXyiDG9Ne9Itga7QmEgZeIcFxYZsxMjhTcFwy+lWpsNj0nE5FDZWi
osE3qzMYj4rW2gShrW8inUYipIdbOjAS7ENIR1OTl66R+hvsy+O+lOIjYaFAp9hgIdFq8tRM/dBy
3zTgceB7TsUGsqtOCkIJ94cOT/QStgzIq7zFXlQ0jItDlaBnnJfj0DarCDfuQh26X9FbbU7phbMI
GhUuZoDtR0O7mYYDBJkR6aqZTyidUhwrad2y1CnvygkjeWB8cDhHaz2BfjOHdh87/UcdF9qF5eZQ
lWBuY9lrS8DHaBeFXx2ppgaQWZx7pLbtFNKoU6R8jhV/pwEK5MHkFjDL+KpG0pXGiG935sc79Ot8
zf4yTO4NlWoyrQdgKyWKUoV5QdpfiBUkCVNy6zKbCgONZLYX39Dx3YS125lmvmpqVD/+OIGHUuuV
kUVXBLcvdsE7ksaxue7ACGn2LCzrfMIsoI17XXL18u6oVN6bbUKfCYf62mUegOGx+eWz78IstJdN
il8GGsCLXVKgxgXtqWko0BAHQQyr23obC7Q4HY6BOYdrWhs6jiSyZVYwfful3cQm+j6qCDWx1aPk
IMGz8xnSYOI+hlMH1E+xdrW9SXxfewCJMG+DCNd6m7OsH34Xfr6R9dS5ZegVi5JBVBH8sqzecJsE
hR4hkcM2MvVua/GIUYeydXtxAImrydTFcoDnC8uR8ja3rHVPTsESIMNjPJsMurjaDRPCjTDunUM1
RHwLuI5kk7h1k+16GB9WsxVl64Gs7wsHjYxfHE1Binyf66+21BZmGMizzqRnG+f+HYkTuKDq5kRf
EwGvOVorfeYhNY6FF2ky7xDKh1wo+TvHg8/YQvCEUS5wsH4PUO2Z9x9Uq775M4ScIxyY1x/NSNw2
0IHJHph05cnIDKgt3FzID1guQhmw46cp21yFJyEqBUJFwSJZM0BXfGTGGYBZV8QI5k0BkyayaJpO
Up5qIvCORvVhWm1z0IP2pJX2Poxw+mTSDM6ZbJHM6mm5c0LWh7ac7F3bQ3mhtQS4y+NIbZcK9AxO
eXFzwpRxIhMFHraPFy8MxMlTLIb5wtyRnoLTQoCGg2zEPdo6jyBAMaYbylcWFR+TMhAXHnCdSO7Y
VdBxCuubUC7biMzo1FFvRvlpV3qEqazNtgyl6PrjN1QKHpwKCyGvTeZTLTQTChl9YlznT/jKMuHs
BwddqtFrchMHbOV+y6lR93TtkOmk/chWLAFNv8L0Bm+ZEx2S5xvTX0n7YWxrc6urMIqTCml1EQwQ
0xATwh3EijfVJK7rnLMnHyxGty5K1AVjfUhilnJOYUKlTegHZDusQMjBkmKWayU142kHmUQWZcxr
a3Ginysu5zmQiML1iZ3ru4MGBzrduZQaZvQIjxl9WjIB/JYWVU+fakDNWOdEeTY9uVuKql/TCm2P
pXMkn9RALOXwnASqCpZycIWgg1Y1jDXV6UuXyIRDM3wDsHPIlMxxOY68dw1aGkNjY79EuYebAOOt
nSGC0hKKCaO2WTUm/bOjDm+jtlprZkEifPChCzAY0h6UVatwRLPRO6y1OtxMDUdDSr81sJl007V3
s+mHRIiDmQzRVvxAlfQaU54w7ol25W5nzr0MyugprKllWo4GgMdjBIkxU4HcekOSUr3Gd5kO0NDL
UTkl5kzcVD6DhrZU7b9BU/LJxeGTTMlXokcn5pD7bhENtOpQH+CFYIWWJsWBH00IrBmcRLSz1nMP
PxsMHeY6z0BMHJq0WmXqpChrP4k+JsCgM54JWV0eHTLCzJcpMJe5v0YbrfBuowEcC+XG808VF5Xo
gAGAe2xm7uQDWjSQvOu8zj+lhF17/FVOjEH52FTqsIGj7IDqHvbBdOkh4S+BJipkrDDMhhWZ1kxM
/QjkIKeJyp2jU4r53E9YK1dR6R0ozwwSDrh9S06Fcw9NnSptkdKqSa2s2AKpRg/L1r+uy14wvDQ7
mHj6R6R0lPe9utcDauRM5hCl052VXBVhvEDMQpdtURJnJfYGU678uVVJChgKV1AU2yk1r04Tg8Ho
Z2J+Uoqtr5c3IlL9Qxul994I+C4JZklnPTNEC+8uoXA6dfmYufCnP/ukDfZenVz1dkxwVUaXBjg9
4zUJLAoNWEPhvaZLgplloOnixMH4AOPxuYXgSWt9PCd1cajhNR5yE9ntmJf9phUtyOtixiiiwNaL
4RqCEGNA9FlHIFj8EeiqLYzDf08w/t8wB8LEmPhf1sbVe/P+P/6BrD6/p1//+R8z5uCVZvjf5hfz
L/0xvxC/2YaQNiZHAUn4Z0zxO3jacn6zTBXyge7o4ncAwh8TDOM3FWO8oarQDzTbtLDG/z7B0NXf
dPKLDUdo2Cd/BiL/539/Dv/L/8p/d17Wf/v8LwSA2Wf55/mFbZiabhnMVhiJMOz92/xCdGbJJsTk
bVT95K4DY/nggViNqN97gD6rSXgg7RwdKJX3bZgx90WCeOhPL9rvj+ovj+LvU5T5UdiOUHmZeC1+
eA9/doN2DLJp3DKhzxKn3BSGd+2c9DR1ozgbgAc3dBtPlck5JpgFU4JFy4CmORSBGxiIMXRJGs2/
fkiSSdXfXxhd1aW0VEuXDjLDvw52KkWTVkEwxU5y6CMbRGlWajuJJXXNr7SJ1PtkaLdlXje02f0P
3QBO3BqmuRI2CR6G8uBlnMLarG9dGJxY9smbWFhz+EymzsQ7OiVuoZVzX6Xx1zM4d5Vb1Vbp620v
hQcXa3j818+I0dY/PSNmVVxtNhcU9tu/AS1KRa3p61fZTnUm9aBZg6DTiGGwCLHTFHTvpVeFbh0P
cisKnZg4um9sJ3lTkFGY3cLckneZtJ89qTrrf/PYGNb9/dU2uNA1fSYBQ974GwqiqQm/6W0r3YEm
ffB6fEGEjeworEfXV2EH1w6r9aiVaLZbCDeGxBzXl7vERC2refF0lyp3vsou928e1z9dmKbgJuRR
QYxXeaP+ZsKOGHMUknkPvNBd2WTWUlNZig0Ft2ghsmNjQG0MGmc9IZRypd8/FSl2ANh3MMyNSZxS
9Nj/+iEZ/2TYtowfpzYIFN5Lac8P+fP9Icz8mfDxP5F/qZPvDd1Wi0RPYKGnHMwKZw1iRNzGYXVN
vFMsNf+CEie6ZcJcjyBDl5NORlJadQOuTKLDMj2nPu/ocHVDou9HzUcUPKnPVc/xDdbfadISrJ7o
gpZGrN9M2t9Hs2MrbfVNJiKwG8Nd9NNQmltLUzGnQw40G8mzABU4fuQtEF1bcQYCefIjg8UO/na9
M7T8NZj7ZbTtQUHQQtMUGlg9dPY8r8YzwCN7ZFgYlXKt0qlcDRbeaeunJzd350yHyLsJIuaiz3pc
YzTx/vXLK/V/vk8sQwi+zn0P8ApY8V9fYGpim7lg024hE3MuSPOz5nuHMnMcNnGt2kUlcq+4ZDI5
ELSE/Gg6TOR63UdBdq+02DNoG6Ahws1wcLrqq0otJNglL9DY/iJhk+c+cqiJvck7BJ71WZSgWcNw
JBS1w8Bg6v2KkVzx6jWorQMbq/kga2YzkgBRqd/Htrw5Y9DtgtpSz0rFh59/xY7v7xuzve8cdP5a
AAG5VkRw9/MhCZwzpUm+60FwrVE4H6w6e+BtbM9JMwzbujHErdOz8RJ4d4g32/usSYWrEol7m2oc
jXUV3Dkg+xfArJQ5lXNa1T4tpByQJtM0FwhftRRIS2mTIbAD3gTRJot2uj7Fp8Yp4pM0PsZWIvwY
hH+Cd65iwW+THRvciqjLaMPNDRtXVvGWdFudbEJMYMdYYKQxMaufmzIJTwIBUip9tLzR86jU7f9l
77yWI1eyLPsr8wMog0M6XkNrajIzX2BMcQGHFg759bMQeauzq3qm2+Z9XmCBIBmMCAAO93P2XvvA
ra1FDDlPBFT24oZ+0AJUfUMA8Cjd2tj0VUPDxSqCyxDXDUU6ZCOZOSInKitx5MZOPcREjjw4U3kW
cjE/x6q9dIqmu56nkxE7I4z5ik5CZx/oHn0i7XqTVSlP92PkQeNa17EtULy1emfb5lfMtph/a0Kg
xsF1Lwl9azs3bihcIF4Ymb9g8o5B7asnX8PpRGZ6iUWqnkKjRwGYBPGqNGtQ2NSLDKMWLzRQQkZm
CZB7dHbC8qKLW/EZa1lMNzrxA9LqaYT4PF0sP0FZyyT1KfBUcqT6xtqo0t+UjopLO4oFS0RAbOcT
aASo+TT5GBDtibt8YkT5VvYOsqYxSy7Ur5JLO5k2AbHxLZ39cBcIHQNmFQyzcnxOhgK0mivUw2jG
0S7pMYHPHY27wmsynIUsSrB4mI8holSlEnWsp+5zbOrpsaMO+djr/B3a/3nuNFYbMdrPjlkbDwrb
7X3PdsxX6jZ8yaLENsiklqVYcHKz+dhFgf9w3xAqpY4kpKJJXp6bg0L+/kHq8jl0TyLe/TlIhoPP
CIVdwCrny/2X7cDEHSALZxvk2Fxz3+yBAbfRE4E40VNG2taRiwSN5rI71QymjR2PV+oOyAV4yoEs
TfCEOLU2hR90o/HestLoBTU2/bwU3ggDjPF835hEUMRgc2/m8huELHXEfpFkZKPjam3v8b5BSF+c
Jmf6cd/LGznf+HibkYkjUek9uQIqzl7um7EPv8rZL3YTg/aqZfEbrgykkysfb01D6NBpHuvqMSCc
GFZ0oF8iLPfcYOeLUQFG6+zgXRCcjmgB44Jd9htRRu8V+VUHFMjToXMTjUmt7ejuYuk1g9aAPYNc
s5stKAJhTcwb/Trl/RxUqt70xElsAkZyiOGF2YEzucxxVTvoSmHYY4Gwxh9Z2QWPpHRmvvVN5jZO
IcI2uukdeefZ8cDQxEDtvATeW0E5ftJUinBabJIuAJwfJseR62Jr4Jun55AdkcjW23bQ7lbl7qVr
KBArv2n2KamydLpmUu0kHlASBqZ9lqdU9QeToim1oqNZqb8shrZdUA0OIxfL2AzZ/KYhgWYt9jRN
WFmhTsubMXyKs/ybtgnAchh8DznWNvKC5K0EvbwxQhxKZp/vzSrBoTFZb4km35Ghq370YiTb5vAa
jgbWUQDLWESJY6IWVoApCeJtKKNrFqvu97cJUsE4zth2hWvhok6dgTy3D7fr9KOpPQTw6PXv49Oc
Sft14lxu2i/SNKon7lQ3yKik0KoAO5IcX3xvUPvOPY+sQ/ZzxrNM3T3yOsbqNAzjN6d15p2j2ltn
DWhxBgYJD+Y8RV86CRUVQyeZD7GU9UHY8brnBb5G2fziQU24qKiliFDY5T7F5GOOQ7A1A2WgeVnH
QAnWQSzyM8fvUUa0dHTkP/oVYuQUtjA6+tSAOeIfyNCmaSjkumMqvC/Colg5MkQeLu2JbBGQWSPo
cyy4hIk1hvhuGkXDfBUGZpLkkDG68pz0Ni4ZpWNSDMVZx3K4ONHWFsV8E11/LsrEIGT1gMbW2Qx4
CNDvZ+nBVtVtXpqjLMiyvV8XihCH+DQPE4So/kOV9KMBhr+S9okNw3Rf0mjaOB0VR05H4z3qIrmJ
x3IfdL2PaCWaH2X91LiJYIWvwFtUY8W/J5QUJQY31n4+y5EeRjzRChhhlD6YufROAewMhYQ9Ionl
mNY54TQyZwa+iPInlBSXeJkH5FAzNGRZL3Lc09zCV4D1mpQ/TFmmG5Mu1sHuqmudWeXNDH7Fg40c
PMSOCejnmLrNL4UdZl2bnn00dPAgOps0m2km5NTL3aXcM2Cmtsdn7D/iXPgOt2NJaX62iLc09dg8
Nkvppy8855O+X/VV+fE7YFT3ZLfw6gfgGpsuy0ktE7Z9dDrKgh1hY15T7WWLa0WqPj2atXere4x8
ajHDI0QzWgRWqfcoiDhDkAM9pCqRq1Fc1/5Cg0+SBBpD2Bzvb97QUftUdcG1jCoitmsFa4w221p3
yrwGeUrRKSe3EnJWXzcMA72iX477m9kyrRuapPWixNMYGBw+GeHA+sFJYozgjsrPYzySTkn1Fxsi
wWQdtLbArh8ykPyHscXDYVTHsidBsR9/NW5RXodSDps5bP6qZpS5Q8QNPHGrdY6AiCRWkHQYng5Z
adsnbmrF1uHgkS9NVoUXFfUqTn0f9RxDYReOH1Zf2et44iOkqAA3KYoBHMWcTctr6DAE8wFpZM8Z
dLQ7210Fc0IykRVp1E0Ue4fU3Y4R6Z+MK8FuyLwL2O0tFSHjki1BiHPj0qBr/S2nibXRGjW29ytz
1PyIvt1SZCdaGrlTkyDpcCZ56qoOGRvR83tFrWLV08FpAxR93UCxExJEVDU1rtONX8b2a9OhQMRH
mePW+Aih0hOOE7xaHWoQNROdNCAY5O3gpCE4EfG0TN66yfyrwXyyCic/eW4o7XbtZH/2vTFDT8ur
nTB0uY6NHhuw7qtzRsPnFQsErrwOKoTQyc1rfeam5B0djJg4lvtuR7AQnnyOOArtc6y5R/UuxpIu
z4+pEWz7evCusoiHc+W5/SqbPHIqcvzB9CHyLyIOH5EY9r9svz1Se7jKpsJ/BQRn3eSFd7boUiGf
7Lqt2VuwFgQXCM+oYfDO0qJYWM/I0pNMYRi7/6S6/1VHTnMf4KFb7GxZochk6aJq05kYlItcw7nz
p4h+Acskp7HYNcKfgbDoEA6VuVNu/q1hQXbuCcy93B/dNz6aq81g+kBxyIRocPw4xjlIoE9YPYEl
y1+06OJIUTL24xz85WuLZFxzuhluYp88w7N+b4qMo1f3NYHRdHWhGEBbRqiagB4qswc5q68mUkYc
OzdB9u2TUz+Omec9GqDlsfxVz2ZmuYeaCg5ZTlP1fH+uc8eGdmov921lG0ylDRAGU9w8lympmBpV
zX0PgTh4f4kO4b4bHdyCjj6ncYEYLldbT7rVllPGfko9HM9TSspvmsH9iWcYgQ3VlmNt05gZPTHe
zEFfKJ3XLyCkaYnZz76Q0amc6vzgkKuwbhpBjlOQvgk8Ixeh5VE6A80pE1yRGcXiWafCfI5JdqU2
X0PWCZxdOZiswKxoS2lqWFndcvlIcmwq/8Byo7xIxt+1G7j0VwzjQbSBeZpm0zwRIoEc9L7vV8hR
UA3BL8KKkrBAOhuTlGsrz6Z1SxHt5BjRs93JZj/blHTpsgynnokdKor5dN+UmexIDf2P/XgCTCXB
Q20tvmdumZP3S4l2orl1oBRO/652n7Kq6wFj6/LMvBw3J2idPK+CDX+RnP04IsC0rW9WOINGVO4X
w8TymfmkrjNvOKKASAgHk9m2i3IoNtmXpvS+k6sVnQ0g22YA6C7P1aVHQcqBjZ7MIbkReX9rgMF4
2nplhndIRIe8irc6CYfXzgVDpJ1dNHcBAHYGZN7xW53F4Ees5IMuDnlBJqEOiXol4YKqAIFgzNH6
JckaHr7iEgx+0G349Gf/MMj+DUEtOVcz0Axv3hAfjW/6Na6gT/Y6KQmNIks5lrj9BwwZoiVQ2tFP
TE4+4uUOkznDHolha2Jnr+qDJRLkyUeriR/Twgv3GrORaQF4FEsfKBxwRABVvRgOWbl+S1u6P5mt
+Vl2z8zzw22IpWU1j8xqSC8SxwQhx9rtx0PvOHBPkA0eMo9rqhYEuJi4x03Z/XIMv9t5bvo5pnO1
Aqn1YZWePhYI00Jm6HhEvSOlNhoPGdQTUZz8Zbi8b3J34zWxdxBJ8Kud+ZxJ1+7plh2F1ObWcdwn
DwcOIeTp2irR7hpFJVHEkGDfI/JLbQM/TgJM0jOeDZuss7LuybEts+9jAKegXso7OeTmVL6bpGdu
Q09iYG1H0AzYPYG606AuyaDB+xcj+GA5VObir5CvuhpCYCgA31DsMRHQaf2ZfrWTKn+sFrhcVCNH
XirIRTXrnwwcDwxD8aqyLdgDBtadYvDrg52Xfw3u6GBZcq2dGAP3PfLsW1CjbVU6oALqEUdEMBrr
q9h+84IKs6jKToq2/MXBJLuOA3yIVg1hqq58NHvL7KtovqmirD44JFcjC9+bmgwL1dSftNIwlnn1
vG8H4nq8PsNwFEMkcBlDWLSnZ2S/I4Yim4KZb8c3Iws2tGZJLsb5tmu18d4z/BSKVXsyLYTwituX
DCvY3cKGFNCE8UFnBi0rE6HcratUuW/9qnpSioohmpO8S8na8nyfRbmH3URMhBGG+aXPKmyM3Zsp
tHkxB7si0E6jwSxqvkSrOTu1bs4VQuaNmzX14jUlZdvV3woKRyu0A6fSGuMd4x7jl2s+2JnwH2MK
1IXhPcoE7DfuxcoEYDBHvnNOMoJ5E7P4VjOX2uM1ejJnKKehpaBtgIMg4E6ssj5AejsgFs9eB4rK
xAom/YYqNVTQWr34Trox5lBeOGo04l3qSSHY561MKSkn2E79bvbOTsrVf/THtIaDAHfzft9AAfkW
TK59ZKJwKdMI6E7Lu8+c5El6Q/hWJsWurKZ32MwDuBdrWJkTXmQZN+V6VklB1zN9EgaYVmJ/iDeg
cSuqGW0AOWttG4ZrNDkQlKL6oS/bW2pg3YsTfp6SWbVSZhiyLKoPQ1tba6KziUJTx0GnyPDKedhE
1WgDaMPK5OV+uQv9+U26EgY8pet5fX/YCoW8vaUzrnT1DUcatFDztSyCnZEODuSwVoJ9yzPrFFes
KSvfAY36Xc7Zd/pzEoRCiKqlt1x5uu8X+LXGWMVH4m3KU0Va9O9Qi/vufeOIGb////XHIXq805/f
HnwwjwTyvEir2IsKjmTvffVT8nRaKIqEABrOLp+K9NDXOeK65RcW79VcYkev3Qmdf0Pq0RJDcd/0
CciK6WfMGtxGacpk7RJmnTpmBjxY76Gr6NZ0qn8qEDxiY5QnzDDZmhCpzynHqG3YreS074wTCMY2
DzpWmobc+ulCTvLiYRfRpn4Oa6TOfjjnOzFET/6+wUP3ovz+rTElHuuF4n/PKBmjgHBmvO6TmDc2
KO3Bf+ka2ipBLz9MtGCvARC819lfUK9Y5PvhaJQe0FpbTrd4UvXG9eFbpCXxeVjP+Woywjti8xAh
teXAdVQypuI4O6FBRVvnuFhGIz9JfMIUV52XkYGrqtJTUM4/Odg+Q7bhHunGw+ixEk0HePpiDTq4
EQpv7zOsOCwU4RrM3I2btmQFODmbvpSUdTMqK10WlQ9u0l5lWcIIxa8RcCZvDLMI+C2UJfaIxsFs
t5ac0y9ejqUnLCg2hKotNi39skuaFTdblMZ7Bd9h5zNHOGY66p8CiNZL+0H/GFN86rMGCKWdF9+P
yz2XQHEI47h4L4vwXBSJ8dnBMlw7UvTkHsXZjVs0CyWkdxWT8c+oosbTgSr2R+drH8VPXqj8Xyi8
Nj1ACnQW3kMW2qTY0sBfNeZ0qJ3W+54XcI8cjdbLNymk0wh/DkYaOn1HkZcFNU5i9DrENQ3oZnJE
waj8ZsTbDB0TagzuLRrHMYXJshogPNTjnhJHe2oLXAwaNOUtquHbUEwQG4N4+4vfGNFmasHEstj/
y67bAwtK74g4FcqCXzykohevFNtIwkAyk+XBdHZZwU12Gb80OgS3yR4uToBrufZv2rIF/LQZoKbT
oYmbiteYNcI66VgFRw1InkT25d4h8cwLpwRFZGk8jdF1Slxgpg3WI9MAdSzb6eh+K0ZcUoC2xDji
KndN61zZYC/9QDjHIcFx0FS9fx2anHDUQl2wxWe0B8cz3cnyyJh57UXSPVm595niCwIfkm9KKr6P
iQlp2Yq5SYlRrmqve+5absZtRLb6KOefbZ33BwRAeNUprgKFi4udZ9LAbZBrJw2SHX9U7RWb/4B8
sGOVAKGGjKxmEed/jWPNFH1oltwGylKBa+9pG3nPwvysbQd1Ykl4Xq/lF68i2TGuYhtm5YwYtqp2
nQVeIBwbup7R/K6mujhY0/DC0ZoWUSdroLSf0bx3oBslHL7A76x9GpnzTnCCMURkgBcheKRUhxEA
QXexm49Ao6HtaSPVk9md+0xfKHO6ULe/+l3+UBCY8RTPuJ0LL9JXI8fE5HBLa4Z23LvT1ykYbkER
mJcohYHI13uaVPEFxPJwRlJ4TqzEuxGv/hEhrAEtFF78GHWYPXhQbkdaNmQOPgRkuCKCxKs/R+3D
TGk78unYOEOHFqis47NW3fNM7s1Wuj9rm+RZF4jWEBlMtokJ27Z2sazUNZVJQzI/zrfdYPt7z3Ph
hg76hzlM8Xk2XCxs/VgekPU2Wu3zcuyucQ0XNoNWujXm61BLd29Dyd2YVUUkwVI5aPPc24QaFm8Q
oYHyh+LYp/AFlES2MqV8HSRQ31Qu/a/NGxCJ3A31w2T1zWnq05dotNQNWbp1TrXYeLVjbscpcGFs
VCXitrUIWEUGluUdjMUAP7HwjCnoDV1n7ueW5T+l4uqD0Z5ZuJlAS0uKb3o+knZ46mxH3TyDXjOT
JPi6JvlODypiJuTTeXqMW4ZDu9HGBe8eL2pFj4NLMWBs5qt0QgCCSKVwUrNKjOhKkIrF98fE1jvH
JY6IrgzegBkANbSaEBJ/Yb/5kN0ZePgjtNlgrbqgp6OSWOcxTH71duYRxYvdquieUdZ0X8hY+9Jp
7rB+gQw2JliXSrYjEIHPMaAmnPYx/fkppzUmEs/el34PMM80+5uH3r0CEBwm2rkQnEdCw1i+OyKJ
L4CfFyuZFaCjD4kcRQXKSWikT5KX2Cg5zkAFkpCo6303R1h1/INi/X9udQzRMpi8c8mcMdQUjtLe
0ntWuPXVBfl7GglYKdxSXFXsvZu506Fqtt9pVRgUzwlfRmnN1EI0NHwt2VJfsjj7LAkEOJgGUMjY
H5a8A4NIRrhvsQ4F+NZlcQpUGFotUbiOmi6CCcXFXjbKYkRuog5EHDPCygQ81tGWOimPZnOlxCs5
VdATE3yXRn2mkpqfgZosKZjGX1mIHbLtwurVRh/9YOAwc+XXu7a9xQf7OlP0Jwj0qzJ7ffUzgVC5
Cw/+AGQIx1x44hvBosk6UU+VeyMBin4eGlvYDnl+zjMnP8eozNZFg7G8FnVxHg1U7UtqopEw5YvN
xYrleug4rUj98pI6QxRPyKuHPBcI93selXQORBKuPT/FPeJxY6fcavGwyaL5pNIKuiYli5XXMmDw
BkeypOgKwAZD0t5HFP38ZHLWlhH1x4S6UDMQ4n6ourYmldYdYQaOFvYd7i+zFaL2c3Q13GJXil2S
0YjvC/1m2fh4CuxSEx1tWkxZYQ9XIn/ngCE5bf2Hpm7aB71s7sNOxhWMDiU9+OMDTUvm6rWWxc1f
2tQONsSrO0LHc+ODTBjhUV9m9M9E+hAvj3yFD61k0V3owTugm6c3GvSbvsl4LiyuXtm3F4Lv9pJp
7LnBnrCt5jQ7xthk0z6O6bL6rEADmJVNxm3SMYlzIuyOO3fkXQeN7BGp5jUliShoi/wcDHClyGTC
YhFijrMDQlAmxuY9sPbP2LcjVsh58NIJdS10Y34NbTjg8eAVcELFY9ey8M/zjgQBvkgoeHWxd5oS
84CZfRuEFaPMC85V4RZL19x/Dwoy/fLq5Jt29NpoQcFunM6R21mbOPEBLNjyB4yrZj+F5bA1Yusc
0zf6ithvM3uIDhumpDdREfHojISI126/dSignHqmesIvxXdiZHezyukeMAktJNW/vDMaepsWlZ09
wdkYj+o2eE0QQgakVwzMXS9jRj2hx08hRIPW3iwfKNFv09SqwLKYv9yog5lQlIcwaKfXivI0pYVX
VdnqMGiKS/fz4X5mYPPcO0w5thVq8I0Fdv6YRcjyObk549v0zWlqwIqUM/Zt4TRPIFo2OHywvNo4
g2pKZfShvvUxbFvBfWNFM765RIl4pQFubjJMk9uetduOyhbLPtqd6061z2DRnGONjXjRqqerHtP5
exG4v4x25qksgz84a8jPHbPWYrZmOE0MwgS8orHHNrl3R/1jQJZyzZvWxNZbl6C06Ww2iWXsO8N3
r3Prv8dlqV8LM3CuBPS9p/WTR///xUtd9Ro0ggp1oQR22ACZQGA2J2eoCItCvMHta9ncU83uj3Ad
/b0bTw4yK6VwDbmaW4JKgqPtBIDG7yFf901RDB/497LNiATDWRK8Or+ic28uwV+/HxJJaB6H6Uqx
mfCuZeMuK7VgWXbdH5md4u5RagrgXPLwE6FbnKRLMZlyiU8y1e/H4KPQqDZ24iJRyI6hCvNTMYi/
N4FUfrry6rPQtXls7e5nqvN6m8wTLzAsgVZ6ya+7PxJpuWTWeB+J78ZgK5cQyd8Px+WhWgIVa5/R
KG5dAFBL/h9e2wrzKpv77p+N68ckgqb0atWS+nd/gfsL/n6p/3iuIe139qPykLMAI+UyzZa8huH9
/mvp/bn7C6RmyVu6v4V/e8G0QpwF3eG9pkZ6Kr2BA2EkRBv+3l+ejJbkyAFRxqbobXTWGcjHexga
vbu/M9P+7IaxwUSVZIz7U3+ev3/9//bcn90/v2fT5knJYPnnK2eRm1E7KMhHWQ5g/Oco3vcNo+JI
qDY6cfITVR8q5xQ6jXPKhhhQvya9vKbovB8GGVA6fLn/AhEGgdVWx9Efq/YcCKDs99f154Kz4/4Q
UwrpistP7o9ELNutmegff566P/8782753TaQ7X4Crvfn5e6/8fs1y5HCH+Hs3uZOOqGC93cm3P3R
fXP/QadYgWdp56xV9RLQ/DyC8KeC23vZlmC85pSByjoxL1pZkZ0d74c5vp9ufw4rpL9+uajuV9K4
hGveN/3yyPGwI9Wzikn7G8ZTveS3WpTnKeqx+2dzfy6PZ1aGAAiSVON70Vlebu8f5A9xBogASNS0
GZGLyOINdhtSJ/QC0H+KxWXWYAEPSXzHM9jsfA/K2qQo9wXmtJW5v8dahmJLvhqSvBfazfskL0Zu
0d4Oh8XPXMVvxGQ+2ykl2GHcTrTyV5TOjdUcCWQH054JmnWWaNyVSMEos8Jb0Tp8y5T1kFuJ3FlT
+lMGrHdohL95Jf8w10tnkWvaKMoPOdnHvmhJl4YcuW9t+4qFgaVSjVAvQuxNFfTdqt0HbSXRJXKi
HaQois0qvISpF5983uAK7vTUfqcWR6+cxugKARi6fI4ML4gmY4UVZ9rqkOo/dm2qm0AlsixH1JIC
ZfXsa+jg1rW767j0hjsNxMJLiIgPCEJqwzXVul7X9Eg7XOBt9+FkzSMVsz3+IWFGAg+o/FG5Hxpp
/brUwbGN0h+M1huagHyeSO0TQ6LXqqcf5KqsDBAlJ8goWzkFchVV7ps1+J+GCSM0T9ajjylU02eZ
At9YWYJ+QdimM0Z9OjixxWKB27gCyBu7YPpUB8fMIDayowZ0jUL1rVZ1xtID05+wxiPWR7i/EZ4v
1pZh+Kgk/URk8Pu4gHziV5ADCOrKSJ+gm0NBBozLbqCA6mhSBtCjQH0ohUbqIHHxE/9h8821rMTI
deuPRoRVmr5CvKvijP55IL6W3t4KWGbZOVP8qiH6pQ+flL4V8OS2ZY4LO+iw6jKv2WhIAqxps5Y0
UqZfNALByjq22IeIbbA01UAGHKqSlqWuQWO/TNoK1qEH1wNtxDMlqiufvV1Vk0JRjN9o5wM7GZtA
rBIX21jlFe9cnX8JvdEzddKkpcHNBP/oRJxcQliHcCaoqbXj/dyrBedofmcBgU/gaBE4ybmdbJgf
YjKjwDXir6g+Jg0+tyoVSKiBeHlpblBIhluMYwCEc/E8+e7PEIAN3McqJf+qIR5j1TWmRRRrPtFE
ycN9MzoHZzGbmovt1FwMqHqxolqLKRW/ybRlloy/ebGsNot5NVlsrM5iaB1xtuaLxRXrEGqAxfY6
3w2wOGHnxRJ7fwqbxqpZ7LLmYpx1Ryy0LV5aazHVwvv0j/5itE0Wy+28mG+jxYZrdLgR7cWaS18R
QSdu3XGx7QaLgbdcrLz4Z+AaL/ZeZzH6hnyCdrH+OosJOMY0VC62YGPCU0kNZ94Fi2m4XuzDNm00
KhNYisfFXAyH740bRf963+jxNC5GZAjhajEmJziUCdgLWGNhWvYX+3KCj9lI5l+ZUh2W8EE9KtuQ
qwEMbBVajFVZcPB9AJVhawDVj/1T7NiXksas7N3+XM8uPQINmDD3n21t+8+jULspm/tHs7Ne6qL5
EZt5wI8matWTXTx4jiYizxTDUYoUe1XYILYpBbTOHHJxHjT70mmh9bGy68tCnxF+fzLfSXcJZUTq
fiNxX4UzXPzkPa8SQPDF0GxDQhhCa3hF6EEERQ8zVMiAqVPFtDAzrzVBi1fXmhwiIJArjugadh4+
cq7kBLcTuB3K/v5aRbG4OMJ5qns8TYYXjTCcOa9L44OQFzIYNdwUdFeHea7VJs8XsABl002j9KJW
J6ERffivKbNeUFbEL5ryfBzq/M0bztPcBhhFPcaV9CMX03AJg6m6JgbG60V1UzdUJck+OkVzc+g9
/v1/rywWi2PgX6wWEtWVb+NstQRu8n+3Wsy9lQTKt6tDKmR6GHqa3jon+wDN4JtEtPgy5m2Dp3Xa
uYu4Y/S0+h/egvVf3B5SSgZUU7jCpBFo/5ucPQhj3ZGTXB1yA7lT2FkPPtS1jTHA/eNG9jWzmJ8j
CKh2QdnHNwdMZGDlgvQ08I5tbeco46L4vIhNzV5AbJLRq6a5fGS5at4WFei9GvXff3HWIrj+ty+O
1B4T9wQ6fAfV+78KsnEzZHZSEoqdBtrbZq6Qx6gPb8Kekb2XmbN3e0nEQS+OvUf6EMum9CsMd+HA
tgMoG7ZO8DluKyHj755lvpcUcyj+uL8QqLgO4xdTYKoxj22JY5V8+fn0P7z//2Ju4FtfcGOeDDw+
xl1w/i+K/QTPjPBKhrqCqbuDd0/plg9B4DvEW/OIKqNYI3nqd3Pmf+k9xfDgXBOI1eTBlM4Wbf9l
kN9dwoUOsye/BEsFhFSxr1x5j8lYVXsQ5aDG8hircOLcHJ11/z/p9reR63WqMHJ9MssrNqrVjfqh
/9XN5Yn/3gJGFTb+X+vPpsxU8fl/+NN/GsHcfziu5UF49lyfUuliJfnbCCadf9gMCVRLhOM50rGx
fPxtBLO9f7hcsja9RdO2+DP+6p8oO/sf/CqDqMX01RRU4P9fUHa2sBaPzX++zGg4WLYd+K5nETtl
+0sg7n86Tf10rPMma5ODMl1n743VmyuZA5pJvy0qq3tKbD9+ipKBJp/IUAoyL7Qr034mgBb0cD53
J5duazoU3nNl1HhiWqvYKTzKl2Gi3jDMjvvYhygeqv7R6yKafzj3kTShC1ZDfmmXGrLdXAOCUlNl
zt/CjiBdUKzIV3RRndOZtNwoaVEMKuE/1cEMhcqlVeiT+ppGXrSeRGg/SxwAO20J6+yWKjgzE+52
ombSYsW4SKuRfmE5teMPHRjXWAqDd+5lZ6fwssM8hvnSlh++mE2zQdc5flUSWUWN1LhquBsmuVd+
TJM1QrP0EehlLJnzqHsbJ6gRscHdpNOzfoOa2q3KpfxcycpbeaaI3yi/bXI3Q5A8U+cdy9s0P01h
7Bx7WX8GflAATca7Xo/giJQrL4k3x/umMxCHkXOjxc3GGRqgGtr6Hjkic95fAqQDMp3Obch0hS/r
3dSkKFSefUyC+bX0cntruPAKPM/5ZaCGL0v+ndnOtEDnGid7Ng6rGv4NzZtDMQ/PCO6CrW+9DL7F
fdjJd4Up2p3htAg2y0vSdsG7eU6eTBAOj1FH+saQD7t8zHrK4wmi66YrD9CkwN3u2gEZTCDglTEq
Pzpj/3z3Z+RdMmLPzeI9QSKz5V0M+K0Q6mvCkJhOUgLMUX9LCwg8dZvOaZJ3wLMb5Is4ayShKE4t
ykPl/OQ6qg9pkjsHiNf0EwLQ7MDLXtsUStnWb7ejjNsHaeUWsQAhkYtVz6TRtcZ9ZWlosxycnQ5i
OnjTwqc2m2M21gaZtSm343zKNgYW54NO0bwYlRufBeXssjW/kwo/Haaotp9M48Q9yIaSg7nE7QJW
+bzoOgtx3WvTi062Rc9PslZZnNnGzgiTgOQhbBwJbPZHOoCSvnXerkObICHbJPJm2dCsPYOvV4e4
QE5opgCLkbkhwrdPIITItAieuUVYV6lGkmhtCjxthhhDOclLqqqd4sw6yRDK2JBMxFWEyTKXBBgn
vafRJs5FxDjjvZYubJOD9+dtsOA3Sd+M6nYgDWfpK0boUnPDBxnVmxx+tElGqXzwxZjFdDm9F5NF
JZ6vnPLaXO+TcDmmWKWSMFlCSu1yZU9ev/PJsBBV0q1eh7HozmMTf7dDnR2bmiWi62kSp5JsU5oo
22Rt7GGrNYdpfobPdK7R8zz6Zl6Q5bZ8/IlQBYTnyHMNqI3akXoPoSnYViFTpBKh8qYVFckCfSop
+qYfJlXex6C0EK6nJxWy4LYi+R4bYXmmXoMYd6lkelH5JS8J8WhaRLeMwFeunQ9XR0jdWuAmIpuf
5tGajqYPgaVR+OLDKt7ZSKm2cVGixumoJHTw2TZJEvv4+YldMqdMbsIs5UJzGCaassLKiIHrZitV
XxPWYklTfHMcwA4l2E2kzet2fDMCYnQd1V1LKxHEVdPID7pka5j2/2bsTJbbVtok+kSIwIzCluBM
SZSoWRuEbdmFeSoMBTx9H+iP7t70oheXYV9LtkSRVd+QebJnYpTSkxNRXekKJhnI/8BCCa0mjTZt
CT9EyJJwqYKSrrD8tOIYRpEb71th1J8p2uGZyKehxWwiwYQ8+KHWN/Y2ZVQETXIXzKRlAu4BqSEA
9QFUAwBulMO1Dzr7yc3Nq43r8Sqgby8LGz9W23Qd0h8fWrjeyPWD3+Qb7NraO8kme5MTUBRRNmJX
besxy07MFrzNgL3pNAarnq6EA0ADht8tWWeOtpEds8b4TRTj9JzF9rUuvL2bMKbwTX/lnnb1jnuo
vvPRhlbz8G7OnPzWXzNI7GvDq3+XmIBQ1TreqQTTBKnH4SDDhSiFASthOroo0xVJJm3wC1hH+ObE
c/zgdta5y9EX6SZGC5+xDZuyUt/5pUGMHj5pYBfZagrSj0si6q/Mm9xr4BivOKIuZecPr3WwA3Ll
En0UCORf2bhH5vAvS8MBAS35iLmq2QJWzGUQXKbHMnfnSysIH0utZ8b1xkXEyXbMi/ylm/80Y3wd
Elu8ZobxUQbDpWmCbLusox+QO2rlOduRjeVgV5ZoWzi8uwc7Kc9yxpeMgeFrQc01+3zkSEMEra0N
KS2rkCzuGT5o2qfHkFf8to/DDm0IU3DnW9ZJ+NbKlhwUUzI0KZpoyEXynM05AaRzetNm3h6qjv+Q
iNyXCaHlgPS2VhOOF1fZyZFtzEeceG005SXKpZwktlEs5UEvRkZ8VoPokRn/wU/sI7kg9ctQDE5U
qVKTWIipSzgE8cHw3QcdNCVv9EwyB9jt4q4RB7H40y5AgHGSlTltReJaoDErid+NFQHz7y/bIpNk
9O1XQKIalIv1yGJGRp3rezdgJa6cpr0Pie7MhhNNmGd7B25qUGEI9LbMH/7Z8/wLQZ71NlsXc6zC
t7mYbhRGvxYmExE6z3Dn5upVjiE6294c1N3SGgDsxK/EnadzbUwfjTobloNasm3qCDouHkfXuvzn
Ignm7ISPhluR8Jad23bmsVPcibh6bGoAtux5BwY2cVWJU6sgQt7+Zbem95TTl58Ks3Xu7NxJ91nL
TZ24IBVdVYlj1w+EJFpJ/VKnGdFugmt9sFcWRo1uowAkdelsB1dPKS3iAuazGRfiyNt9U8XTH7+4
FavrtGUVfugtJF9dm1u3vJDboB/Di9PWh5HMk7Pypu4ckBcwuOYN9YpWDVlFVnru5rrGotTDGaxR
qmvQ81biE+2lGvWkwpghdxzfwY0ZogSoyUGx8r8jk+Tst2hlsoa5V1AUf9ulpSpA2IsF6akteWVj
vtM3aQ7PvTK8l44ksaL3zQgrhLkXvTwY2OTvyuyrcHDki37+7kyvZiAXM+dkobU6GO71Ai8SNlTD
15NLGLJmPWxGUTDGzMkpy2X5NdGj7W1ziZqJuCM/t80HskWaqG46kvNmbe75STtIKj5FCHN109aD
2kFilKdpIVB0IbYMAddwHX00GSJjhDCjr4gnwCmq89ytK8ij70Y7ufO9+i/cRDwmgPoIcUEz6Lqk
fUyie0S/8D7VyarsfO4Do35ec64oI9ie+Lgibkynrb3Zkq845UP1MbY7oF9SG8uj5eV/goyyw7XV
ls1JcC+oC6HuN90hWRhLBuFn5d2wrU5XpD+/PGBHh3I5srcHZWNl6gkDKUPCPriIgkwax7fuSMzr
gbBfCGb454DHuetjOH+VXLgUgtSBstpLFsllfukZtAxpPO8qq0mo1rL+EaKm1u7EcD4bHqlZycLi
WWShjsTBdWVxTBzSC0wjmTejI619Efhvpa3gHueLeSxrb4nsAPQqq9D+krOCGR0k4G5RE5Yr5ldX
DenBseOXwOjSI7ux9OBl0xXHPQVBt6CiHhhe97zn2V9AvjFeMkZoseg+AohilEHNmLXXhjRKR05P
IYRNpuYoPLP6aOZuvA2t2Tx7JCivFXabkSZFIQNXrEOgFfujvpVu85YQC58PXnMSY8nd2Sy3nGQX
M03m+zrtNlpq/VhjEBic1DrBK3VO5EvswBwARgZcz7yzVrtR5SYxatV3tQZUx4aT3uXVzK5sXlMs
+8B96AUpHb72lwNdF6QawwGNnRhIj8VCysd6oyicaiXendNPMcTXy7BWi93YN88qHZq1C7CvSFGI
y1jCuyBnCAenOz10dgMBE3ZSaqXZvk2KJ7a62T1/fi58geInx8dt5HYZEYrd7eBXkfBB7BdpvxRl
UzDpuyzBlhf7NsGxfRZezKn8YpCEUsKoirt2yFo2HLgKAmMlbUEcquiJdmEwNyRMtPMuBLFxHDQm
L3/EOtPC9kx14T13DpY/v2Y3aHJb7rw53tmRVU83J4T90QV0T+sfpqNI+LKazVI2M9s3cKWhVzIj
N3jvchzDM+5PtQxhRIzNsCF2K9wTBr9QYrQFVWV4MhwK3yGlpjY6JxJpWR9RO2LlQdF0YOl8xI19
X4UA2/mbgauZI9sLPCD18IUCh5cdfcDG98xd5up/gWjEVjGl3xZ9/se1Td6QDpQQ1N68VcBvkYFE
1LFUROZNC1CNMIRwxnXPUghFaRGOJ1vOEM1UT05pYwH2Qz8Ww0IAvcmN2W4LmX1kOcjUWAm2Hesx
wI9up4q3DAn7VS02uYOL6E59m0dLIjM6qGk6+p3lbm1bPoQYtF+spvoIOyrgegyPLN5GMI+c9fGs
k4ur9TOOivFQ96Y4rBJOmituOk3DYhar8WVIsf7nM9Lprt57gY/yJ8Q4Fzw3mIPZpiycovkAdxzr
H9V03BF9aoyHIpvfw6y1HpAvIQWGLboN15dlB1XGWq2KIPrum7l5T4HB8fJDsicqJ0XHMX+qciSe
bPXiA+jy90KxT5+WmB8o+O0hFO4GuEG6zYdF7UfhM082SPObiAFu4zrYF6SQnV2dX8Dmtier9b4t
+Ks7jdCblFgf/24K31fLeOJeVc52HmvMnmr703CnYs6RXJXP85zzjI/WPwb+NpKIJNslcvwzew0/
7gJfROui3qP5jBKF+z4sWzK91pEdljsK2xKQ2TQbkB7bwNw2OfT2HJX9tk5KZw+vQkVJJ45KNdWR
XK9kmwbI6/PGprCzfAjKaX1vuAjQA6oVN2VhYWGxTDbK+5PC6Y7Ntt7h3YX0Gfd4ptEMswFMcq77
nnN7D9b+l+/Nf9aUIPrO46J0eN+MkDvrqgrv29g4NTpXRxCAzvbHBcoSzednODMgx2O/ZdZRRI1C
TWYv8b2Oxy86Vz6gGOPzIvp3EYz+qbG9/rGrH/G4HbjF+2vMfXRwGeVsW6RmCUOrw0B2Hw7ku2XC
v9qzRNl4Xl/szS63tiYrH4Zxy1+RLdZWtxpDb0MTls3irrAN68XHCXKXoprHlti04CcmJP1WdUsw
iDqe3V+LQtQYgGRy8EW+DUWpTl31gFLTvWPXWJzSKlZEs1TsEuGFiY1i+r+ziIZYYV2IKmMEH4Zb
YE9WJZtIr7IezL7ZwyvZ9mUSv7HIPQxmk+9lhmrdcqh26kph61zulrA8IA3LCS01+gMWdVZxhTR3
xEKBP8R6HvmODQBgvQJ1Z5usGbJXv+v1HQEOepzz4zJ3ENH7GREbgepZrF6wjpfK6aMgCb17+o5D
Bgf0sdfmDc3pOs95Q1NF3IEvYAzKGGZ6X3KoIldEIJe373UMjiZmRD+ky6GNvYGQTZDbaWePx4A2
s8QKeTIW8WSVynqsxdeoMPSbU/3YWMjuFQQbnGze1uA6OGHrjbrBvbhLZRxnVLEwN3y9zxuGVIFr
hLyN09Ns3aPsS4hCnT6K3lBvrVgYGFS/e8NIn90i/YizVQwYJ18/N1aGbC5WkAgA9eHwWIzXkUHM
QmjOc5JzvjidA7UGBXIy9OOBQ84+caxQsj85si/eEoeIQxiTk4MXHFAMND1J6mY62lcAkUCnVSwP
NS/ynu0uqhK/VkeAU9BLECLQiJjHkMSu9a5+gOMd7oBxI12tXAgS2QTCCcfDKZ0Pgabek5M1H6eY
xSDIeJTVmc2syZL//CUgobLwjybMmpumBLQBtnkD8aJM9EWfMTtycrkXumA25dYXyKT/Mrcz76Gr
7rwSbSe8KfuUWaRYhxpdZ69M4vp2rIzFqdVwRn3SzeL2gLweuGa65JdUk/zAxpPkXN0G96iujSMo
8OeafQsZPzm7g7I7otCuDmMSxgwRs5oApCS9LybPPjQodTZy1nMUatf9PRCG1bqnxpvUh6XCjWsx
1dxwkl/Z2CfHIosp8UlLFrUR3pv1t9D9Qet2jjrVY383w8/E4NkSzGegQTMKkNxuj4rNsLnkZLch
QH+kspke2y/hLjWg5K7ddshpgCLXd2VpeLckSbaZMt+TsXe+pEGErzFcUsdDBOPHJ98GrpeJ4sw3
M119RdqyZYMEJBTgWKSc89zixtYwDIYxpflEjie2MqwiD4C8UWDiN8rRsz9X0H1D3AScmo0GR8Rr
tl6Htc6kbl7aMcwktYSaNgl2S0bgfO1WHBZm9abyJ435jVGK/8d2EhyaBu4B10UoOkwvyJaDqzud
wI14dyH3sm1N8dFTuowUAFSKb2jti29gni81EQ5CxAcG50yxqoB/JCtYv8cQ0nFxk6sgpXFMMbpv
KnDqeziQImrGKd7YvZJ7gP4ksq4TixFpHVvxoDwYaU1uYgEef5RGuW+7Lt9jMgsPAW/1BbgEQ6Dk
EaTrrXboxiEKPwx6GN+QxC1oI7qHyRV/Ro9IuTyzwufGZUKgmU0I93FiFQu+B/MaI2eyZkr/ZGCy
jQwRt88JkCuD4u5+kvk7MBx15rhMSZlowyfmI1Gt63w3LboELu63jPUhfqKGwO4/bQ0WBOfZwvds
sJzdpG2JttT+tJma42b0d0PRp+9+AP03795a7884gnb6CfGASvfPx1PEyJLxh5BUzokOT4GfIx9r
WlIuQV0wuiueSMp79ln8H6i+9KmY3QdKHXmSZp4cwwQlQYIVDN+SYURFTapB3No+eiPEFsNgnXFV
d8yCu5UWzHrNwJEqgor6iLsis9lFYDr5PTbpmooBVhUk3aMuQdIJo/olDKSJSy4PKZo7bhwUwAZH
sl0IBHsamErRkW1ccB8RVobTKpgOmQweArNV57GLSBIgcD5jbJwXN4MFv5OH+mytD+a3ThkNlvl8
tFfdXp96zyYjlD2IgC+jXS3kNcfkQCwExT0s/Y6Jq8EHGVVmnsWQHOdSmFHXkg+uRvNKBeLsJ7cb
zoFyiTJGtxqhgKuPHuY6v+f6ChSGTbRfNvSRkMrfH6DpUFXrRAAZC2fGRulOO2TDDlJOZ402TPC0
Mbvt8k2AoZa2AkEHxF6ndB+IKfD2JqYKNfio4pb2yY1XK2NB2KaB8Hr383Xmo7/w/Xr02EVfRKbD
8x/Wr8FQ32dEKEZgMbfFKPSRkprDtQacZ6VevZUmdJI/Pw41YtjaczajQypnEG3togCS8IDqiHS/
wDzNLcPBacrVrkQl1PTxHvDre90V301dkxyrCClRfn+uUlpHxyv+BfWw4IcmHJFBMwL8ruq3CRZX
PCDBYdLtH3xg3KIGo6oc10L4ucQfSYac014C91ijiPGMQOHJ5kHmMyTeZCbgfdVhmobAWgU+Yeuu
L5GfB0a+OELYv2yNcB7PIKryA+Fwd7mdoW7V9rSrk+l3n4TdXtr5M6JpK6LcIx8Bt4g14RFyTRHJ
qpxoGkY6Qvb/+6nKb9WMIM1PK2+rUnPjk6nGdLDej7zez0tZ3q2otgOlrrP6KKuZNDbSlbSdTztg
DvUeau5vJC7ftbsc+iZ4WbLib0wQA4mekuUNiwxuSTBT4Wk2EnW2HPLyADS/xWYwovVDIjeP85eH
WWSDHZ0qsDiQH/SotLBOM/nei0D6BcbUOM+mJmhYalJxZ34QbfVKuIe7HUxTbVLfHc5CP/LK5Qqs
vXuoFNXZd4nEdFV8qSdofFbWLAfmE7x4pHwb3dF+JXCJkNQ8OHocAqegxYIt8drul2Z+DQvH2f7s
SBZVdxenWv+thzsrncGpiSH/BFQOEIvqwwsUYnPLe0kMbSNlCpwzmqM3e9L+zkxhw2u0vawx5CE3
yGTxBul+zD66dAsRiRUTWboqa5lYzWbUsD6hl4HX7iZhz4sAdq/laTxAtST9mzn9qpuc1odZkR5F
q3n7z+vSRk0/M2dEVue/uul4383BSxl+e/1blyY3Y05iAPntLwxlE5OLEAtU5V9FCUSYwO5/2oRj
E6KA9g2DUzhEQGi7YrVYG6toEPRyHqMgq13n2FSBfTb45MSG2uyqlTlW9cF6GUcOItHjxIsS7DQz
xL0/0Lf/oUwJfWcXKmVtU8O9mwr3xsQxKoaiPRvILoTdfJkp8X9VdRlzCmD/WavHRYIiCsH3GgHk
C8YNH1jX39UfkTyUlj+QW3JnKiT447A21TZGUPXsBv7ZmBjLzOOtEcMqcEVVh0o9ZhbkD8PWtBB3
4mp9zTsQS4Z4TfjQc5BYu8nJ8qO3yrt13EzHaTGiUmMhbJ2V6Ticy8TmKfYrNIdqYCM0UPEuTMja
FhUhE22WzNAOUlJS76aedrC1SESHR/MkcoJRbDZJ5dazy5DUMSJTyhz9ppTM7mAe1Km85XbLNKKy
MDOo/MFF80gc2Dinz5LxE+UL9pWQa0eSALVNnJHVMQz+daRhwgJAjzf7JfkQ+jtb5djEBCX9VqDC
5vwBkoSidNvMTnnqFveYdF54kDRElt9PR2dG0ZxI94i4tTkXqy7czNzz0IJC85DfHwPDiST8Ecx2
1XGcVmN/29ImOeF3mRgYT+VCzVzaKNECRl/MByLDz2gqw/A+9YMPCmKca3jCieusz0OD93KjPeso
OwlPw3LUuYix3vl8vpWBg/ZmyXsjNjOsJYPcKUB3VEqTi5q+LffLbN6NMR4l6klmeFjLpFOflxWd
VbaU1RpS0cbXGu1WOO7x9L4166fFUnHhtfx0lPFEhUC6dBFfTc6fn+vu56FZz3YX9/gu88RjayaE
1yd8f3GtNt0qPQdG+dx6yHFk7FAQY6vZknOGuGhs6VVs+sJiPNdsqNevFrEOURpy4a1dlXigaVCR
cZWbepAPJtkfcSixUg3Xpgdx5ee80fN6/iWmhswG9mh91dE0r7f0+pX//Goqfo1pbJMqq+1I18YH
C0zg1FX5pp+cCtcbT2zTwFWcKXwbyhnGsyKO7AonDUHZDdyNDPEf99W06/r2FtaZi80ND5NnDiwB
LAtDURnch9rSJNmO73ZQ/hqkr6MU/nRkFJS/pW0TmRo6v8O1OvEAi3M8OxVLNYH436A8Pee1Jc5x
MFanDly4C/bgMFjTm+dxZ3Cc15slxl0JSqHDQIUXvmxad1cIkZFqnMltEcZcXQWgLXg/IX4q+1/r
YqD2mGNqHNM/9zYDrOFkqF+Oaby4qb7CAAWP68QXKf1ja7k3hQ7nEKggjpo+X5iWsUUIxvk6qEJj
RNtr02c52fgHuPtv85hJXt7dQ97ri8NECFdtspudzr05HaSKjMATil19x0+yRwgwvchxulLZPtGt
ia3wug49pI8nMK3+eRYHBL3yNjRXa8lSvAveSe0AwyrGpgsY69i/52guT4uag6iCghL5RC7vXPMv
4SxUTzX8Sk66+JCinN9Ncfzc0QKiTFfdlYloF6e0LEocY7vCZFY0+jwN+lAUaMSDdTDnBLXc5y9t
RppalSRPnBMxY0XGGB6bbUAFVmNxMlpSnYY1eEmhnc76gNwnWZePdWmC0feNQ+e08cHLVXGUFlEr
TOxWD5uxH0rPPJlC7UHNMi4oxWdaCFheFkVMMF9HViKXLiWip0JxM6TTtZeIAChMim74FWfVb5Mf
MWnPM5nX1kBeUsf+eRrbr8q3vwwSwJzeu5gNyfRm9ruykLDUc49aQBjTSXv5qhixVFTRWUdwPyJj
vNX2RDTvbHFLbrLQHGHXOfaO+7Hahjl2aqhSpIYtzlsIIe9oDd+mZRyVZccnB/dTgVAczbb3mOH9
2/ZgBw4WyVAb2WYvP750NQ/HfIyt8+T9jWukmIkrTx69ZNT5ZMSF9b+ujouPsGK8QjSxrZL8Kzy0
YSGjjArySBqji9vV+xs2yt9liijAnnCEuIwvKdjJDYnNIhrT5uSQ37bjGwBB5DMgcz0yyERlb1mA
5hGRGVDwNIzC2PXfeBFE7rKyBFVj0x8hDJBAmtbNfByWMDILebT7mzki3THA8EBLosBbgwWYOpvy
Fw6Ial2n/PHJVtia/GbKwF+mEhhij31zjNGn5yaRitgweIOXeLv9iQ2RFfN0TpJJ03PXZfKEBGvG
6UO+FOEUjzJQ+ya3yaiwvhnfe49iCEpaqft+QYA+yoakjpRx3aAYuhfF1aLB9kp42ErKAwdUdhQ1
KdC00h/lcGoK8zvuJmYTjgY9FoZoklCdHmKvOsQMhjitqFLMbAsvDyAJNMgAmByYV627NZ8RnlzX
kTFDpBcMWGRjtgt1uYNK4wl/iXov6I+2E/wd75cdJnd2ciWxXLPrWlHtZyzLl63emSzQ9nHmftnd
ixMA9h0mNAqphrHA/grlD+qPnal8CE8MuWoHmUtePSGuEPsAPBULZSQMpTjmrsF1lCPVdOmgvIWk
w1rTxsPbIgVuYt84se6q3Is2124NhQ4hHFlQyItv1h+Bxqzj4+jgFAxaGFnU1DgbWeMys+DQMFyW
TSovf4dTN8MP4gvzGvLD2xngaxW7x1RBYCSb5VswD27Ni+HpaieT/KVoWusy117ktAb93QgNr8U0
ZXDNQQnfIgfrSMIjjwwMMKiV9kaXxyVtFhgb0mVnYaQu0mE+uQU6oE5ZO8+YNkk5YcogYQjrY7Z1
0vE3ieDPS0/OGWP+bdNkp/jqC5TClsPaiLljVITDyYQ5IMBznWtl7/zZzI/9gGMwLux9Fk9sD71m
U7gO/uWc505a083oZBglvDqa3DuzGC2iNm4OmWvgnwAU72lSL9FZ5lsZ2PNGKusPq19w5Q1RLCqD
KLLY+tGEGrnVNzqcDrfeEqExSfeki2MiIUSyjtueoZf+8Ot7GaqO/Y37u5jIaxFTYAI24X1e1uMn
4p9y3dHFGB7DC4tg41BA3BZ8yr6AhttVeqDS08iQ1r9l8k2XwHXwXC4qp55ocUZBwKIgdvolmOgC
uBH7G3/rxvO/2kz00alQtouQqL+BdQS96taxEy7evHb3tkyuGE83cdy7cBvt57IY72QlrI3jju1m
JYI0bTNtTaNm0czeYot+nR00YqRmKnfSkJ+d/VT11fLalMRppDt3orSebNvaw1psIoWthOmkyaw3
mExoNuEdujEH9EandyVGE0iQH1UxEzerBoQu+lmWGc29Z0NkAz0XmeX6alABW3gC9jxwrB3W1Z1p
Zi+Db70L1kfkXDFfQSYqrDrhPfdaoEPcI9GgTef1gYjMUU9OIpILa6r7CeEh8UfwykPbugg/fk/C
Ot4OfbDHLJJefLc75yUe53WK35N3tSsHCVKM+n8xcLZYbIzKeYJW6yY5xqHxsW2KaxwAd7QsXjbC
7WLEfZAb2zI9lx2M466ZP7MHPbh/nIK369xUr03fsuUdw68UCvs+CdsNdBQyexZrHUOWl2KhtajG
nvcEarCRoBHsG9LJdk17WUEMqc29HLIKo55P34hozig8bLliHE6+6fXnqVrfiZoamrPvv22TrTmM
PdTCVxEE/YnIH/zMa3X98/Cf35IRuPFn19/++E+NuSVSiBSSqSwl0bjrYOHnwfqfX/1//1/JFGPT
03guYeFu/9efOGYmCFJNnzn7g7UXnXg2aQnzOp5RG2H/74juzbJ+Ov/8KvmfX/389v/6fz8f8r+f
8X99iOtqmoXUG7bKtXJOmtbG4gSGPIEztJPWgsOo7lHmzTHQHGKk82QBCpV0r+7kfkuwpFfA0xNU
szzYuK3AsI33o/HNau8iR458PsodkZn2BOdQK6Ehas7CHhkIzqxdh55p4TRmd7zyDhyxeJdmapIh
TPR1Mkh9S2BUVt5sblCUsqlkzEGCEHfTkF4kf04qwLBHxxINwG3W2LEvrIMhxr9/nJk6qk2OOVCY
HhFp/cFzQ7CD1i+ZOcN2jiGrVxNTJCvjlHQCSqiBRCaw4nCIQT9DeY39baWdr8aOH2eoIIeAFn5d
YhvD9NtufIt88B54JktQP2AuNOPmypNrF2YOM0MCUMcRRZHti429VpR+bLwN5T9TheXzZH321vyX
4WqyXcz4VbaYIXNnPjiqb851ngMu0uhqls52o04c8oZAgHiis590/b3M2T21C9egqd7QQzOXXjgK
ZlE8UC7sBB0RHsmAgGBruJVxJEbjhooI4I/tvU7QtenSUz7CBC1kp38UAwr4gSkJQiGeH7sTL5WR
OLzVCM+yBpI86Zev2EA+xTBhn6FwML2UiqeEoVM3xOfhhbuIZHAO6bIAsHVa7zwOwju7tXgpiPml
5qWj06UmjjcPSPzSs9jjZ34oBqhVLWSaKB78icXwd+vxxu1b/sJaOca51hmDrCfJBLYNALTVcBfY
VW84NMmOKrhotmkJjXGuQzI1dfkEy/I5wb3Let0eyYMGwmlYOgA1Ro6QmLF7K69yT5gokb8zTsU1
fyA1y+erY5ZelvMh7EwOlNA+AcQvLnNY7/q8nIjuoscb6yZnf9DH8DjRSoQ1z4UlSxuq3fJOowjQ
KoSOHU7JsYm7MxwrNN8avsr6/Vvd1SEbbWtqknLjiknm7NN5l+9Bnj962nnMJnRvyRtuxfwizMZE
lsBgmaH0jVBCxACMn37+otADG8L3ZEyMnBPf2PfMDMak84/oNmZCQZnFkjJHLPcsYjzt9qHU4XRs
kxHa7gzVxjNnllY2W/X6kqcex9lDVmVnEuz5d0dm+vMmkIEfGV58DlqDFw71MBpXuv883FPkfXYJ
veAaC1CKaYzmhvKtgO+WpffCs9577VWRE8a/VGPdOZlPsl6Ai6b40N2IphHsTjDFn06cxGyxs+F5
dJKNuZjJeUhKuhpWZq7jInkufsgmH1Y7mPsA3E3UpvMnvJCZjT/zqDEz8l2cxfxgAYw9117718SH
3CV5dhsQMmxMAp+yqThMMJ1uVcJma1iKt0AEIdRC6nXah13ARorVtMiuZZ4dTSNO9kbtJviC/BB0
J/S+sGTqMrl3tQ6NI55uNo4ka8cYHdB4J5CfLdqZX75d5HfVQnTBQBhwcNOMciQbxwZRxx5z61Ox
dlFTQHycDSa0E2we2DviDi2mF1Ew5yiGLMD+xdahbsLfGe4D1FxDtbNEMZ/t9eXXe4zqQ8XTTnal
ilgvXxIbUJ7MmW6ZVKRRTJ2B81U9JNJnb9Vk71lDpDsIRyiwrF/hE5DxwL0tF04//Kz4qLBxSnTA
oPgnRuFAKUKSNOcwpKXxYIegmWG3M32OYarPzgBQ9echbIgEmmzmBk3a3VfWOIJT9h+EgyioaIkY
WrJz3Nsma4TmabQ8MmdYaPw8DA0CFc80ICGL+E3n2t/gO2jAcabDzhn1d2nWQSRCpM7tAOH1ONe4
UXuSarcwmonTpFDEOTFtRgbWZxy3jJ3Wh6UmVhEMBclyK87OstO3BdYHe4SRW823h4tN6vBSdt92
moPpWj8HBQCN1XqmYSb8R6gPQJHUfXMhScJxZqHdOuw8x+5eoG/6bBo2eA1CswrIdLdusAHNrbTw
/Bu5VHIaRWNeR4X6PRigFsiUeEV3Wy5x+ojIuI80SRJ0F7m7n5SvuDU1ewATx2sjqmHLOG5FU/2b
mdfTSbgXX6UAsVZcUbVY3V/R7Kqo8EYZuZPFreJ8TAOLYtNEjOVNIr3mbnvH/Lw4oMioqMuGe2IA
Tl1Y1bc48H6TBvNMgNvyadT1JQwm/bd0MEXDglqSTxB/NUQ4L2WD06BOFhmhn7J+s4EzZYs37ceM
Cf6MZWBJWKKGdpN+2EP46Uxe9z2rd7B34JjNR9m7Pt3S5G3dyvkXB4hRs1oCqO1EtotHm96wQrDl
4EXZWolMmHnHf/PFRUfdgxOakQHKeqnu5wCJaGct4XOwSsDDuhNfeGn7Rj32pnfz25Q8vE7mJyXE
XpTtKzMqFlfF6hYo4Z7p+ZeXPbo6TV6qzmKMnnrblKU+7wxOtqDNftlFJy8eRMS7vneGPVV2c/Ik
opK8rp9rNHJNbCr0xcqknW1hMaPaD53xP7Z6TPfdS5M054zKduNVN38ewDZay66dwctmqRWjFUDY
NbeNxAFjYYri5+gnQXOSghmsPf8NAfhC9DvUMC3/2W1yEh2Sb5p3f59OPFEhaPLrgNX0xFE4kKzd
Zc94vuhz8TT99eTRWgh5X6hwt4FchotMPBwzg/XYQcx/1B1rxcD3IQ7X0Hmn9v4nMWQg5e6Q2wkj
YMZt98I3n3rk0siXVXUv25ztasYwdQQLyZk+WJ/KXtJ9mhOME6xrip+Hkp7wnL9PSd/cV3nWwJ1J
/Z3ASL35z28Z5B8IBySX+L/YO6/lyI0uWz8R/gMkfMTEuShv6G2zbxBNdje893j682VSEluURjpz
PxESunwVYTP3XutbjFVmaxlvvC76Es14vKCjmZxQxV3iEcdl+gN6qjquthk5LHu38aG/Rd0aOqTL
+W5K8Z6DQExx7B87t/2CRTu9CG25zisqN1ZqWBd1qj3aPRww6gDFtot+Gq4jL5HzE+2ggTkqIfaD
hVraph3c4+9m86BybKsUkWu2nNrIDq4G9ABmNp7iaE5vvPvRSZEQAb4gaaNHIOGDRWsKQyZiwP7Q
cobEwqKWVGGaKTkZH7S88LZeAFXvn32t9mdDM4ZBGz+jwDYoXMyDnwLF+igAgQ5Y5+CIFhPP0orL
odNPMYj5W1bXrqc2dUots+hW1G22DqgJruJ0/pcCUwpDKcTs2RxnKFqSp0GCU0sJTo3TWDsgX8nz
teeQjDlW5m9WKDOLxLps3AxSa3sgJzoBXxczdk4z56HL/BbvR2+czRQdfmkInUKCvmypJ0UHUQUv
iqXU+nVyFL15XcHEvvxYeHnRHrKwfwiNmr4WOQLVgAJOn10HmGbfVttKN+561w/+ZTVan+3BrEbP
NOh3Wa5HVrKyP//iuwQgY9Bj6EJgaO73agiNl75JhnVqJh48b82hwjHEX5Yv1QxBacELvaGMb96h
dgRdkGXlsbcy847+a3vtEu+BZgEDi5Vjf6HYfc+Bixmndx/0udWOqQ+sj5LczZQmzoZ1325Lx3mD
bdaeEAdHtwIbIpKL6GvWZGiKpiUnLWYqNkARKJxakbtG/hlcuUZ/9MixOiMJvekEPj2rrY/ElKIF
oBbz5Fn0z/95dzM/m9dZQSC6GAIKB5us+zkjrjD7oIzQBRzIyd5MsMO3TtDuq7Hkz03EzFDSTmAJ
1t150JGyRsMuYR/YjybAWsrDV4HkP0Z0KNwZuLkysCV2Vx/sEIRETr9x/d2u8vDa29bTMj/mU3w1
6TmcmBQtoxbkL2DlhntttM5oeP75b+N7/2q+5Y9z5P/IhQ3rU9xgMeNiLYYF2buTZUfkpZRPd2Np
xl+jqsUCGZY1hxIbgu6VtYNwOq0qLdZe4Tty7SoZBDdZdbASO9sWHs1W+qdg3uZef2x8m/yGJqfU
zW61ahcYX5Su2uvQdLNfbqV2BEbO7K7mnqgbTaTd28Ap0tHn4tmBEbGD8i9bErhyjaulBEIbhrr7
ElT5MbfoxhWT/qR3yUsshviR0U2/z3DAHCzgnncZQvAVWiSEmCMkzSXUnqn6OPdYJQjCTWKCi5hz
rMvSB8tL3+QwQ0UHlciRY5xFdNN4sL3r0PDIT2pPSMv79QhT/qLyQbYxmeWEEOClbJIpAAZePA+t
M/wYaHYFVve17OcZjTtSUGHfdQM6htS1a+J2YOJW1PL3FTntJ48JNThzjKR5jZzP7QfnSz2V10az
2D84tR6ofgZnB+ojF+yAoPYe9kESWLDzDdu5wmaH40LLD5guIWljMkyiHdfthvxeLCrjrl2q9gXb
G8Lx9sixi3939LsLkeBysQYuR2NTfSlcx18RivKIFss6JZGdHzqzmfd2hxRzSASRfWVnbjOGGVFQ
Gi//vBeafz0T2a5r2K4JrUB3jc9HGA2eWAM9kh18CqYHHemySWnz0h2es0HcxJJmZoWNs6WYKM4Z
IDJKfgBlkdAz4/fGjvgpyU3UxWtuU+cl2incuzp9cn226fTOM9F92DtEi1Ogl6r6pfNWbtfmwH+o
QRIvszVLn/p9EL0gbEO0QXV0beXLpd7xyswb7QPc8H85+KS9/pPxHTUFrjfoEq5p6Man8EnNrrWl
F250WNzyOk5ncS3mOFw7mRZfgQ8854UgvCYsHkpoiStr0PsHZjTX2kjy+dy0/U1r4bEcXEH3xw4v
tSBzZLHSRCaDZ7kaUH+H+YByUAohl+mbgftvZWo4AMMkeeQgqjY+PbG0aa8cMzqJ0j5Qjk532RTQ
n3Zre5OJ3N7V9r6l/7VZaGf9yyownL9ueogElu07+D2oPn5mVLiDXuEIrqPDIKrhes5C77JvTPpl
4ovjdt3tAmrwVIfxm2uh3bDi6nmMg03jhtPOcXUKcrlfvWTpdTcY99mcomLOhfmQu6G1quEyelxE
znbdDM9+/BIgU7gZxuG1nnT9IOoZn5tm6U9mQlBO53CktQl+lbm87swA+T5t7KjMngoab9dL3Dxr
YRev4yBNTnBE+3vfJf6oqB56KkKbOocT0vflTQby/rqhhXwxhfNXT28HZKb5rq1m1OG289QCa77u
AJBdc778QkSOvnGEwW7axd0d+iETNmJ7JereZmqYYw8ZtcseVxFQIYvksXGprltaNZtuFpdKW8I5
+9hmTPkHHR6zPdfLXWUbd15flee+bu5MU7JrEETd5UwGK39BcYxeck+v9ayVFZ6Troj3Xm/jplg8
wLD+udNrWgWjHnPK825to0/3mtPpEklrbUcNQSo2xbCyUKC7lXch7FZDtIT8ZUJatqP+8d2FirjF
TZ2usIAVwHay4IaIjmsqDtmezHmypzyUxG0REqPE9H2rGzkZXJ6L+M7Q0l0s0uJGj/sDklPkezHz
8mCh2G0bYboiNTw5o+luV45G0dyOvGBr1IYgwjvlVPDE4IrxH1gj8rwwPrevtkGYJ4AbpFzL8KK7
ZrtfIkQoOCMZ+/UYHCvwzVRPmDfA3/1JxNUNus1LA8nW9ZhTHLVwmBJPhuGDaddNk/X+1nFtcztB
193GgE5prRdoAV3UFnOsP+AzL2+zaIrXo8M7o8BhrL54TyjFVqbLvA+FqXOR9zMNnirQHv/5hAot
9a+nFle4lmN4lmE5/ufM3cjQKAwNrgZ3nYK1NBFeZy4pBSi6xWperO8Dk+i7okqCzWy02Za8ADCP
kfF1KNwQegKFOw0w82Xp+9NNq4no2Ptc1nKir4hzjg8NyILdADP3YJrOc1cA6a/m/NIubaCxs4Z0
rx7alRll3ZUPyNm3vZIJ3g0Y4ehGtvtuGZDirTCEu40LVL8BzXkQosneG7puBcWO94WUUya3yLgK
mSmMWMQPgz32G8g19qUN62sVlYZBZ7j8RtucSrVXXvYQs1D3sz/GtuFeiawjk9SJ2100NglJMVi3
87l7zkfh3oxpvDVxm0mf3i6PTrnWt2/Q7o4xgUwILW+EeKV8MRy0km55CV+aQcSVywiXK8k4HoCH
oD9xQG1zQt6OA98SCsemLxUsB9MJb7oiQXLDFIzW3HyEe0GuivTB2+7ZdCjrZcBpDzkVG/JBRv8J
G+1lOtfQKazbYkFzxcDbPEW2jx2wI7gE+zyYvdA3txY27NUCPew6LRiaI0y6QIe5NrRKMuzyU5Oh
jBmxJp2dItR3yNilqE0qIRBXo3exHxKcN1S+oMUNAVrMJC2Xg++l9VWMHmQBW7G1Qsx4qCSTMMnf
/BRhgJ8I8mcCcRbEbLwTov7P3wSEv5UVjcsw6t7zwv+4+38fypz//ku+5+NBGTH+ce8yfmvKtvzZ
/eOr9j9KGZPefn7Rnz6Zb//t18l09T/d2aqM9tv+RzPf/WiRgv8ebC5f+f/75G957f+O+ZHzrn9I
ei8l5mfzLS27z5Af+cbfID8+uB4HHI8rDIu0aI74PyA/hm79R7ccmGcQuF3+geTze9q7/x9d18GM
WFTydFt3GaD8nvZu/wehFTAe3sbkkJnB/wTyY7jmn2PNLc93LdPFgMQvtDknmZ/GOoSDI1UBZ3lh
roSk3KoFInyTUZe5cJpyxV5IqaQmCbeDEnx+3FcPdjpZSQM60Xf26twgoSXg5jTkFpm6iw9XNWvk
OW6czZVt9QRYIfv2mBlKzmmTynZOpCHYohKqFuPoAX6JzcE/UpZS3cqwYRh/ULBRdd8Wwdmcanjp
YR6SG4ixdZ3fFQP91CXKnzIsTdFs3pFhrx8KgiwqY0GuFiM1oL4bDNfQCqdNkdAZx63/2IbLQ66P
/cU45kdtFFsf4BA91bTaJTCBqFkhfQ0t73aE+mEFEZrCBaxJypW89ucONFDZMy6xDp1h5JtwJveu
xItEI7h+MzlJ0VpzbyqTCYSX3rU1EbJ690xqqbsRNiMIM0u2sBLCtZtjM9Ni+I6OHVzURYuBLPZ/
OhOYtVxqKam/djGt/qLqLiGCbLx8vLQ6WyMGwH6u8/ka1dStwSTRBqBHlGkO9dndFCIAZqTfOWgC
dh4GVh9WoGkJgBfhSHofmBb5gV3UPjMeQRiJGmkq0JXk5ASkozQihf4Mh6jCW2JjYwPTaIEnvyvR
GKyZdzTM2VZWQnJxV3ytpN6ALna+Th1we6axnKO4eak87wF3/L1RNzde6z5iVntqPUCS4Zgc/NyB
8xSw3jmXufWtINhOQzqRWsN6marzyFViE4X197pDdlOaxXe8n1OJmClbgi2mUUoN49s4Ihk2A5oG
UhyeAogutihWSeS0MSnE0CarnanHEwZUoihc59joFMZaI6IBWtjBtrTqn0Iw45r1ZdlHPX3L8NYn
5T7rjB92xtbKqod8QKbUFTN68sj+SYt9jV7xnHQhLRtXFufHimsAfzRmpA2xMqxLt2fHa6Kv8VjT
rnLLedeIzty5Jf6XzF2Po/9a2RluibG5Loovo26i9qNXsTbYH1bAMu6NZ6qaNXq43KeV4Oz0Ibgw
J38n96dKLw+l7tF5JIwMHQUE8CW7ibNjMWow4gE05iilXedaDOA/zIX8QytGnUXdmCbZ/J2E5Sty
sPAldAk1XF2HpYOdoqcdMBj5bTPN+G319KkxgmezIHm7R//YQ9JlcmjTWoVFoFXiu9XpNxp2ks6g
+ZUamIG95GCbAgKqF5XsEAgFKhBio/O9L+EapjJPZyA2N2qye0+nUAXO7ugv07XpUc8tx7LeAMPH
Q0gmUe3A02mtG7KvkdFkwZVNaFOO/aj2ixFSyaExwenqMxMUEV82XvcwpmOKkiTfWgV7siO6BZgn
Q9AupOawzh10IVkJpaqrkkNzPw4eG9lFGIDzZZwZxnAV3/Spg0bfDm+7yTwDrTzDnyfB7lovKL17
ENtB784/+YKXPLZutKjuVmkTv+KdO4KkpCfa3AdO8srtmDqHc/A0jGdTwu89VvGQ7swguYjrkKn7
Zuj340BODM1huH12yIYSIHFNC2eYsFCm2jbElRn2CAbi69aAJRDWP5NOY2Z4hU39oWtIGQvp+XYG
x/SQmDd9dJlRGkV91946Zvw0WjiCWtQ4ddcfR20ke6McbwTsQ5fSDFcJdq/k62CCAcFo8LMlWoEm
cYqxUpvOTqbf+wk7s7CRQzH5+aHbV/AycU97120W/wiMycD3Ot5Rn4j4kd2DUZr9yppRZGG9A5GE
ItJbuKQQpHI/RMNba5Z3ejV8nSp+JKD/K0sgBe7wnPGXbzzXuon8gkQcCuVun3/TpubRGM3NIKzH
EjcBycXeGhdObeDrGzL9LuAigPD3J+iMh3GsCa5Ifk5hcYZTv9NE1eHh4WrS0fRZI5gGKLZxs76D
8JuuyFTeivKKsTlmCFvaZotHnY8Xnpts9QB9TWpiOMxJTg76fb2s/Tcn4VzRM2j27LdltqYtvig+
JKZLRRN0S6Il47Wl8FbdQs4KHbIwK6QL9DmI9R9uIBETFoWgxeqBvrgXgRh2/jSe3Rk8zZAvN4RE
oA9stpYUdQnSiKg8rgeRfSMlS9fDO10OD/PugsjdKc1vrDzAcuoiyOsre9v0PiZ/RLydgVq4uM2G
7AdaEqQYKNT8YfrmmZO+8abyZiDiKJZH17TUO1BW0l4X/SArajuMxH8FkiCd+A1je9TG2lenpQad
tj4VeiQv4ThsCLjt14xXrrwieBvITGGEXnl0AV87ET5NE4Baj0LekKAkAjt1iClnrlpX/1IEHUYy
M8JL6M3HqTYBWcHQAxN9MWnpzRwxnBiDNdNXfPpasImcca/by53B5AwPLmk4QY0sd+JzU+tSL0AR
JB3WssQ5VKNBccR9pskQreXeTgvQ2LceupKQSNNwEi/hSEEHHsNrbja3WB3wVia0z78UxH+58/TD
n7qthkIe9d8jjp/7YkKkgBv4JUFasycm6NQuJn5BIAIl5t86JI6UU8Ox8w9G6yGEm8pbsxR31hKd
IXJFKyNfmQL2sd84N1hYEevzIq948PGC0N75Zo2CVPs4eaoWdkQdoTRKhXNLxsvGtSvOd7jMmO/U
e7Ih0lW+ML8ubPYbksHQiUMX75eFdNCs/mKPeY3shcdpUODbh3B1wZBiPZY6Vzf2ENNq9mGRHZxK
Zp9Yp8HhB6PwfPSn/NwgW2eLv8QGGcrJ4nwng2fvuFRUk1F79WlZrCubmLLIP46pedlliKjaOvva
gSLflxUTxZboi3T01roO4WTEMkaSQiHOsS02fY8poIqLB4cqwwahyzfTSh6KWZKHmvqHOVPk8upH
M9X9bVKNMF2y7IKOklgFGO4n3XwsBw7XqPKeXLi0lfcYDwhWTTd4TsFjbe2oeREeCSdOWW3CMrlz
8uBHUTSkkvgMn9wElMtM8RrXQmwR96jHnG+IsjDz6dWsKgy8oX5Vma8gwFfWmD0YPooE9yWHZIvu
I0Q5QFWdM2JutQ+eZTFvy/VnTdM5fw3sCQF67qHlLXrpPYMpcxj8uCsdHAtFzfGEgo2YnX5EaIqS
gX73veFVb5S+TF//Otre9zbCUtK240XaemLlW/QjIxIbyvIRTxPysEi/aTFIrRJUU56JWld0Dk36
0cKOMcHs9sJrurJ0f469HjM+SsOXzEzRZ4Tf6nS5iszkjtbMFY6bSzCJ/hrL9NlsIUUQDNQstE1a
0GU0fqenucCTRp71/eKZX8l0O5c2Whcjy+57IqbJFsWnOgXlGpAhqMebsQyf7XICBJRGVPVMzru0
DDj9bbTCeqBKoa80h5q+T6e+iKcvdrIEnLyqm4CBNX8KTtMZIgKQQi5CUXhd2tSVpnzvCwLiESwY
8J8oJIc5/Bfdm98S3LN6iBWloQyxQ+9AdLF9ZkSuWblHhaEE0zDv6jF4oIbVrUlHrVYBHnjdl83G
yDZxiNyWJlKUpOUEN0fZnezirvwu5AskJwYXwDe6Ww+Oh+BVKwhtsmfIJLAvn1NDSuTqNwD+d4mG
CjHLom+TN35xo+E7rfUfYnGk+vY19nHNVTrrKgqQ+dBCpEtNEcAf9oPVJQdkqXeGyPezPV4wfz87
wg7Wc9h8RfQL7hsxKImh1NSrNgGLF7tfRJKfyVD6GXVcYmeD0BvhbWzDO6BiCtE3p7cGCYxr9Jhv
UafFhJ+Ol4aeXvvGgBk9cl67DNNA4RI/lMoL3rTmOl720i46NtJbmR89Bw3WrNdc/vt7RHGvgJAj
aWDec8IFwIYqEcNEqluM/5H44lqY3jjh3JkR0eTB7YgegwzPddGhoCgR24IlSzfkTd4i68E0SJHu
EOGhtpPHySoe5jDk8r8OAKGuSfcLmWzQ8Imk3kZLAE4IRsq9ba9qe6I2ivKiBByzRO71SGiYwAG1
mesWDd7EJKh1CDfLd4PoL+pyvBeoeHGMlId+ERtP99+scL5rzcw+NH19M4/Gk155NKuSCw29DYcu
B5hHYR6D4yqD9LUsY74eNXEcYo6pLnVQjhi3qUZW+tQzHljii6jgDFX7T8IAtFJC9d+aMY4a3bWu
G5OeT2c8pW60Jc0aBIeMdxrzQ+LmBI89JKMFPSiTo1oLPIyTcAGMqZhq8WWPpnUH2qVfmyVK8Jlz
lO/T7AhegtHojn1OOHEYISF80HT4VAXF+FUr1XNOfmGOaFiC3H00rejJg/9Rju5VxXoNq14Kz3/0
9D+NmnRG8WyJ4UccBd/DZfwCv+C1j5yn0GK87Xsn5t83wMR+1ml1G3geMsgYpDQF0TUynxXia+Qr
9hukhKNhTBdNfE0DutvCIdl7JR0RCGuG2R9qCOIcxRmUu3Eut7FD/ygsqwfSeU9dQkEuLZjU+jqO
NbrY33KoURyck8aML3qJmmt4e/Y6JGMWOyQUsji9E4vZbv05+pF41q4PH2yue8LZvvUjwTmIRNwD
BoiVMl+rBRgrygzqZgINZ+U4RrxVd/McL2fFvk5Dm5yJguDTMJilNBc78SArEX54HcU1Mp4C3ppf
Vd/V+7IppLje1OGGgu3vn13Kry/Aumxtpwnfv089NkF7IApjQpiEdfWkPsGTRY9hMJBnoSDGdSKa
b4F8TC1GjjRIlS0YXicpV3k9OggpiO9ZzzIKRpMxQSHUeP4qPfw6jEgv/TaiD6cs0F3a3g8z6UBO
6l1T/ASo8l6MGeMUH1O66nB7n2i+duiVUQS3f/y1hOeSTGajNCZWIz91f4SsQknny9SDfj7ldF4E
XCp2WoDwrCSUymSaqJtyUWphsUm1fU2dm4v3SIyH+rOyVrOW7S831bvdGUYORy1AkPebdBK2TuHE
B/V9U9vSsG3lsO4Z681Jrbn3tRQT0FraUn0vjfZqraQd1/y2M6i6yMfU+lfvULfUY++7g7qvFqaM
1gRzcKhxNHZjf6c2fAz5K8U8yo7wsTeoZ5oJLQ5NJ1Lo5KpQP1IMDeunC0uQnDJdYLbr125qt16b
0fOVH2IV7rBg2zF3uR/Y7HWUQIruGJrRriAvftNBjeEEywvlIk8cd7+EC9iMms2Krr44YLvtHRiG
RfmXL/7lN6ibqEGKlSEiqZjlJ75vvThCOEqGkthMcucg7wB3bgPswQF6Nd1lGbIctaomyn0pmIQ/
jhpPuAGJh3KFfl6DZh1d4VvyNNhbZlQgJ0u86KvW5/r2Yw1ziJyE68FelHuV+kkl9guEaAP6eX7L
gFs4cxadKEEb1lebc6CPQtu9v1QeV+qd6hP/28dIWFnoOUSEUMvjg44+tQRk+uong7NyD8AmaDn+
fpDJF0BN4wUWw+IqnOkksPNOvT3CN5I2+XpbuJSlAhXD9d9+r1MS3BURcuAXJlZ6+d3qK9WvXZJL
LLDgLczSwUqmjjT1F6sy58feJR8rXWsrz0i2WNxt4NbjLnKzGzfU2BHVnqcWH0frL7vo+031/EIZ
FLKr1Neyst/f0kX2Xnvq2mL3vlWLOmz3ImyOH0e4+vPUW9Rj6m4o90J9ANzdpawmN96p5yy1s6tX
fLz/8y6o7qutpm69v0fdf7/56Xl199Nj77ttVTvOb6eeMmcUZWcWVGFAVZk4GLhA1zpRre/rR/h2
vwoFbNwZAxmxo57dMhuSW3yEIURP8LpYuluSYChX0hjNGAZivuvG9LbwzMPY9GebtIoTtcZbrDxl
C4ECOlhHjQhr5MHUILfVWn/QZuALalGiqD81RgOUVN13M09gytYJMHdLt2M0hrnZK4aIKmjNM+r1
f3+zIDR+N3pElGTVghTkYbaS6DzKRRCPXAXU/UA4yDrVzV5AYYwbKWWa4Ezg1wzP6okw5ELheKB2
SQIFEsThoxa+3DU/7n48NpkTq1g9/X5TPeWp3f7j9f/w/Mcnx5NbHqxGJNOFPTXL7uPtv3zc+01X
/pxfHn3/6l8e+PiBH5/yd499fLt6dnJIVw4a+Btmi2H9n/9oIXeOTx+/NEUIQql7fP+4j5Xz6XW/
/NSPj4EsPCEzZy6lXq2+PmHnMjL9JSrwHgMNpW71y02Vjyby2Sfu2n4PGVTtF2NqsG7LhQoeVLfU
E+puO6W7HvLK/j1pUCUP1tJFqhazih8MYQUzQwtDUIXyMqK8W/wYTv4f99O8ctYUqhiEqvP+5/hB
FbfmN0iWStO4VZ0ZOx+53nfy7KVzgUOiw6SmUec2uHWMxVxIwPIE5411cpreezq1GkIAaA8PVupt
mS/TESI4NdK3qqETyuuRTl5RGRfOQRnbMhyHrC+JqPgwuqm7iJm/5vQOtoaKL5QHrbrFSGJPznpD
pTImUBrKNniYnpl5U+iY3pFRbgrJAfIkzaD649anx5pGhymXjMSh1XSwOgPusVqMCKBO748l+rQH
cb3WF2ulnhss39pHZFip7Ykh/bfkO4MVc/p4DKE0+4ANemGeE8i/Tcvo17Zx6U8gBBGjyfabuu80
4ikoy2Cr2muq20brmxWitvBH922umnTN7JqKsRzX1XKhbqkt/ekx3JQthcH6LVGX9/cO3PtttaGH
gppa5/lrtTnVJv7oyDnqUvR+X16wnIWhV4FWUjXjYmVXVDdnZTocWoIn07j+gde9wqeNX9HSwJv/
skXVg0lRUptlrNprOmuAAOB273CWV0GQlty2wQDvgskgCD8AqbBq8+zRloinbOjK8VyVSXecnZdA
J+ZTBRV+LP7uMSowBy1uyQ41zPY0Iyx4X3Qk8VGVNMkM+OOxuQ4JSwypLkNVsDaNzE5c4lcz9Ksj
NUh7O7bDF9tYYHGo7RSqTaRu4kR7DDDqQlKUqZIfW0JtmI+tEzUGk1QXPoLaBB8LV56cPu6qI5Os
o3KbzukPtRnUBvq7TdXL7TOWojqElLvURqkcf2dVubNXR9r7JlJHnpcM9hqgIy0R6bhBZrQGajUf
0qDI9DUh6M1Jjs6PtobyT8Ff4rR6C+gkbEe5nkKD1Z55Dt5+df/9ph+6w1qPmD+rVajL9fi+vuUt
ddewgIaANl2poyVOhAebwnv+iI70ZxLB1urgUQujdOKjU1I/qzxa007uTWuTrQ/zBEdspBmCfDkM
2ZEu0sNUjFv6lxSa1bOLPFMEBW4lZ6mePoWMftxVt0oL+outaTQeGECoPS2Sq0GTn6H0Av8rrfg3
aYUF2/mfpBXXKV2MMv+zrOL9Tb/LKqz/kHRkuLYwIdCYto/i4rfsJLQRiCccRF6u0FFdeDz1e3aS
K59Bxoqk0fPgQ/0pO8kxbE6uDuYF+V7vfyKrIFzgk86LB5BoCB+YCMIKk69DB/aLhr8ZUvTDjgH0
KnbPWTkLGMA4t10QHFkQPY2E5lYT3KmKwu2m1+5TzzCpbpG5F6XA+fMO/C6SkXUBlJY6QQoGDTcH
uCbriG5LO+no6Skonwg7b8wtiJloLOIzvlbmUenahJu0HpvudaqhuYM1o8vPTNv0lo01G0AQ/XSH
VsU7LWYO3d8Lh00SgaoSpeOeKsd+qmySK5uWa32jaw5zCTyc6tbHQrPWk8BnR4FqY7v4DdVTAhJd
8f6meixdbPlhuwOM9+Rns0A4Ff62CIGZ4A4PSKS3GTOou2meA4jGNbL+eLF6Qi1i+Q51S32KujUX
kON9G+MhBWc0Ej+jVuKLPJIfFj3Lz2oBB4y2xhKgI4Xf7Mz4gXyUc6f3W125yanSrecFGHdo4LEP
ergQy5KdvdxnjuD72m1fx+6uDC4gRQCCapl1eCadxY9FQrdkzWzFA78S0OoK4sHeEBVB8qEtqjNZ
zxeUAJdte5U7Nv3sFkVdgR4Fr1l+I0bvzam4Og71Mm5Jo/+SLXm2ieLqq+cBAPFn9zYYk2ajRw6U
48Qrzi0hN6smhMzqaS+9R1SvOWS7odbSteFPy4EGwwUJNhjZm97dWFMtLsNOGJfTOFtYvzt0xH7o
6LukwUiKjeioeTQ6RBviIuiN6EKbf5qFUVwOfgbkeskvyW8CNmGdIfj0hBz026QTr9BeB5yhDmEr
ui4uUU0Pa6Ppgo1pl+Zl1dg4mgcuLnE23M9UZ6bUny+cCY1mY6MEDDU7uqR+wt7ZLdluxK8DQcc8
gMLOr6DiNcBFmmFvEiBlgVwZuhVmqnlvEQ40WTjwsNJiWs/HC1QBFiYqwkLGCUfRVNoXehY7e9cj
JUc+51cjaw/oSR6IYaVe4CSQjUWj7Q3+9EuyBcxLQ/7qro2eBk0WnmMu3/K5RS6cOL+ehU3qkb48
OiH6wY6S82pOi+UC+NV8MTox68PO6Flob+7ShbuFKIjTaCzJ3p4JsOllUHZrMdRNCE7bYar802Nj
g1M5vSJbQcZpR/kZHql+mLVmB3uPmaacbrZ8OQNaeVM9+LGQ5FqcXiSV6yBGlPzYsPjmBKi0uifk
bCKFPEijl4gaB9y8LFhs6+Z2scPHKaZIzL4hziXaTjnWtScOFvIgbjIZ6yYtvTHo6V0aDleKStrb
S0W/pAEvX0O2WEHLM3AA3aSSnVclHqR0L/+qyiEjff1D6Tvr95Lpey1HVU9Rt24abAMHPaiyZf2W
eWDVEIiNJyEXYNAsmy3n+UDYCsk9VATEZqByiWrzoB7ym5qmNQOKbWMazZZTAvVmqW6IqyHajA59
W70M8y3RJoRu+HULK0Re0bFcvKXTMGwjOWBP5GKWtEV1Sz02eRBV0wyVvQHNrQ08G5QIzvWOAiX5
YcvWqsBMuIH/zWz8bNfKAaL6SUsefjPixti+r8l+BNPrUddmfN6coApuKO9TafJdFC72YtBTsZqt
XyDBITujW2NkYTRDuX5tyrKiq0bOUDSrk4KGIgLHCxOAvhIYAvVCp5hu5gcwyzsdp2Vc1Htk0NEu
15wZK2z3aEr3fk0ZfydKWq8BKz0e0Krk2kgISGCMVDD0AvwefQ2nI8BmjIFditn0124LwSAsLtqh
jnZ2rH0vpCgvpvzfFzbkIO29/ELcF5cKVXFSha6P4ulYe/C8YkC5paYT8yaLkmoH+CjrtWV51+k9
6CU56FXVYMcmdRPcFkW5oJcXL2T0iLYSTPwu5MpYAkU0CRmBt0VoWdZMm7AzsZ4P4k3ghd4SxYUp
amlvFae+HlsTDwBNwhe7/RHKoT8hMzMTDjmIdclS4kgtfMTEkxGZ68hzfpIf0wAV4ZUZJMzNVPnQ
7OSr0bTN5GoACgySfuvmCajiUcQonbpdMx9rmtnHGDwzkzWN7Kt5Bk+9WM8iuxvraTh++tvV3eG9
6or7cG6B66rVgFtrLXT0yuqeWqgapT05EPHn11HiI5fEMU8WM6StXQliDCUmUuTEFid1tM509o5U
7qAphNxlXtxVI4ClBzXybQXcW64m16QIrBmU+cBeekVzMUrcLMj9aNU7E1YmND+bQBbzFXiV5oYb
M1FIjGY6gTasJjs+zdJtrw/Rvd5xgiD7MdzCUG9W1eT2FPKHzQeEd6EwRClMzshdm/KBvwY1WR2j
gQxHOXnNCb5I0jg4ZA7Xgoos5EoWNpy4+nWhHmuX/lYPm26nTm9qYUqZ6sddXZ7y8lijMBi6zSYq
Q66tPaGx8ugPdYOzgbqpFp5v+1AbXRuBaneBttqjlgdoy5mC8aQWndFTOW2BT0o6MOmWl06EroMU
BSotYrhm4rdsO0v/qr5XnW/Vb/l0d5GVm8LJAboy83f9tYEO5hikFXW4oZ4tOLjZc2sDDockpJ/U
otXA77Q5a6TUQ+vCcOt6LzrEh4y/0B1p0VlY2mYpqumA9kmDcIOHTO6ZEczKEvsdIRqqpaU6RZiz
MdLianmvE49BTQaEvUqGyNiRJPGS1QSy8MbYow7duoITc22mZ0R76V7V7FWzIl9m6koffQv1zP9j
70yWG0e2bPsrZTVHGnoHBjUhwV6keilCE5gUCgGOvu++/i1A9yZvhdWrem9eaZY0EKQYbACH+zl7
r319WEv3ddsSgzL3NK67ly1McsVBdG+QlfgGQDcA12esm+8Re4pPfS6TXe9+bxl2fDDAvbalHWjg
oXlyHgeU15fvsbDsvDtF5FXRbQEbwifO9Gw4mlGi3kSgVeZIxkNX0L4NBEkJssp+y7TTjppiaEfy
usitct37ca5bLGDUZSua60+ZrFjhL5vLzutz/qt9EDsJH1CCeH198rIF8r3a03r1rvv/+PvlAXuu
lSxb7UAApaIY5vepVxQpgMXlLCwrO6O2POBn1vOUCHgGdBg829JXk/1C5L5eQq93l61uMnEoLA8v
95fL7PVuiraPyBXwHUMlV5mmDpvlkrMgx6tuZEW93O/n88gyHaSlNWrYcC4DLDeOSrY5B1fr7Luy
X/dG0d4sNwOyV2/kigyGXtZeoRU40ukMcUVmiD6OY9sd/Sn36z3CSH83BvWmLffmyLdhQ3Gf1ssm
1B+myXB6qCf98dC/PEu2Ua9uhpTCwPKsDORXXhwmweizWUop9Xw2XMud9KzqfzxSxDY1xOUhVi0l
neG5iD7NDRWCzXJyxufNcakMX19Fry0UVGLokhNBerGXL50LbemWfL/4v+65vqQ/l6iXV1z2DbXu
HFqxXnb/8ayQ/u/4/cj35vKvf7+R5anLfVkKnrXc//4Xry+lRhglddduspMQAKj/eP3ru/h+29eH
r6/+/7AvT0+RKNWq27IQOkz+iDAnntNjqQ17EI0KY9qr/fg0ZOawniiJ4l0vL2ak0gcloginW/YS
SdStuVu8xNBXmMxO1jZDqb3TfHFXx0Pxg6XwF1P090aE5WaiPoOxUiFEROfpWg76MtUt8qTq8Bm6
j+q1UYw6wiWADEn3KvVR0tbkM2wSSYxGkzdPRi650jh0liauKBAYuqepR6DWluor9qaJMq+GYkic
giw6KSEZX0gf4J3NH9McWAX0bb1NFC58NhiDfow3JfPT9dBE4PCbhg52DZS2q4pkV2TNb98OJacv
4sZQ7X7qzYA63P7hRA0inSKiBEn5zKyq7Thob4YCWajbdjmMeL2EmUychHEQLfB2Tpd9XMcUv/je
kto8YQVuGfrkz9Ah2TMMP/vxAwArLD14pRCIum2Qha9NRzNYGOHBLFmQZqQlBoaxM5riViuChp+q
hAMetJ82zudCda2d7lORQHG1DZCVbuC7vSIm/7QUr7LnAkY6cm3lT+d4wYeYgDsj3lrkAgKtSOHk
JvYmTIyP2E/uXUoTL136AdFu0zLluh1bVB8kIqAAmYFu6l1J8ZEugKFDsxQVvLWMFYfZFuvAfptc
RwXU4taHPMZwqCagWSMDSDyr7N1QoaxH1I35gg4YsGF35zrNuzrVoTdUwUs9uNEpBrq5pnDSeAXL
xw0gICJ/YljDqbUZKjPZyiKEYm847xFH+jHiSg2ftJu2akj01aA9+wLQQKEr6GiZgKbMVqGwaruh
8Y+9itYrLAZ6iYH26PSVuSNg5BCmpfkgTefRKZIL2iZW7wE8BTTatEbIXCyHHtSZsnEpZ3g+X/lO
2u5O6dEjB2l7QwaB/6l09Q3/I3aNY4JF+mp2WTPAgcGrMbswTEraGXgyvCjHyWGZydGa1FuXBuEh
DprqqIroRu3G8dbFFHlIleRSlKgDyXAkfAcRnwkcuSOAlp5qvTF7mJ9OOxnbQUc617pIxCMTbpqJ
5LppPpbugwN29NAXrwrgeKqr4HQM8LoRfDUrxeCbZY11JqQOaVwHSUanMI6Wq4Po3IkHcFvRSI5w
AnYms+IfpWF9WLX1YOI8+FGgrysYoohti9WVU7bquh+maqeTF3BW1bOsAbWIgba4qecVz6JrkBiw
MKvhQuAJBnOgSLF2b+dtfTdmX7SB4OPU9omRdQWxkLHvSdyUqhs/VEV+KIPBpICl4IHQXjLpb5OQ
iJACYJcdEcyVBnZDIgLJFmNcy3XW1Z9+mFieb7qPlijrfXlqo9rcmSaorNIukdC1AyI1JenR4/ic
btZxoqrFNM+hYF4grMe3USeIYHu//c0kF9fMQO6sz+CUp129aRLot61QIcO7x9QJh21uRZfS15oN
0cVvNKO5BpBJVYdJhT6MkU+UTEIb6j56kVXbOPRfgZ5FCKNpdVvELfbqYyEU/0gwHaICwBZNaZ5i
FY+NMgArirQ+hl5bf/YNtBSfMQoXRdpu5pDYwgR3JZv6kiHxxHVob1sb24jz1LdQ/1yUcp6jq5/S
1k/WaKB/6eX71Cez30Ndz+0PrDWav83c7kzWx4tRWYA0oUdsydhmifvSdclXIWtyQ9xK7HPwFJbC
4Vu8U6bgM3Uq344W/3T9YT/Z+ZMWgkWu8xj7iAjW+RRiWJ4VtaFppI8pOZ6g8DwQRO1dIm5qg3YH
aPCHDsaRF8AP2fRBAzyZgJytOxpeQczKJtSmYiOH9zbo3wYHndnUPzdBQuwHE8uhTh5d2T0roDiA
3seboQ5PozLcZrr90WVbSHHJWoro6HZEHpSQTnLRO96gfvVhoXpQo78cEs8JwiX8yxUdah8OP1kA
c6uL6aLNXxAMSmz92OcA1TfwXU16fnh8cIgUmVcYEKFd5kfe0MqPot84SV5uoraDEodxAQ85dDWW
ng6XKoLk3fZMGqqzMaA2ILIm1UXNtE9SctFzyx+miaHFwnNA4Fn30SKUIkW84LwASShDjSxmOqT6
WydKfe0XJGVQhypyrBB2a16CWm58NaDnOY4Ofqa13VQBik2brEEl/Gla5yn1MdmhFAx7REGm3/40
jRhCPvTEqrdOrW3bFy0Lz5WaZ6vAxYoSJ86FerOzjWakWRAQJkbuEWkzY3FfJtqeqzC6u8bcRoII
dT2aXoG9IL+KGnvT2XrmhUwaV5hmihUR3/e2zC10kNRIwuHdhBXtRfwidZ28VOE0MGfUf+v5XQDw
YG2SEOkN5shQ+ELk66l+L8Lo2ZyU98aVdGz9FufV1MUHlquX0c90pgXhrdFpZzPUsp1V3KaZdudM
CJYzNyq3nTJsJrfJ10ETgIA0GYxDvwQAYTzDfc3RbXNdpoDwYCrGs/AZIIlmV++LIGt3VRYZlHmU
BzNHQZW22Lu6Ili3TSrXYQ7Hf4hAR4cubuKmvothvelCzgfEdCPV9G7Iya6N+MlSIQ5jQCMRAAnY
fiFOShaEhxzGNqKMBMQuOGZwDMz8mnUgxHMRV6c2C++ELOsTdr4PE5uUVgBkNiUwBSgGGBqpBYbA
Ve0W6pKvqRgwG/+XFg5P7cT3qESAphOfZAWuY8gAXKQPbskMttMfNMsAnBpdJqiWumI0GzVEdoyS
OfA0cNa0/z4SLF5bEBA9+jI0o27drQzLgRvfSYqoTAENt75VxypdDYWx7gyxI6VrE1h58Js1B1V8
oIXua6VkD24RdCvNlCMl4QI6wbHP8l2fieSoR5Lpk4qdINaNbdH2D6xyuVBz1lWawghnIbRG/g1h
LFDXujY+sdh7JBQqvuklQSGJpEoGic823XM4L0Om9AHUXAKht/M0J57Oo1Hca1LVTkpDsE2mnOqo
QSlfIbjFOouDaiqLe7erqDU72mYKDBL+gmJYV2V+oiQeos5gditY8yk/FEEFrmbttSYfHAtp7Gyp
NmV3gXTFLVCMocndN4YjeMNM5rdFo5Ge3g7apaviU6WqR9flCi61gBSCLoM7mkg6MCRnj5ZxyJEZ
FuY43AlDTTeqosGtiWw5Z6CSPkdlcm/aNNi1do88bEN+UH7CjvElLHiPLdckT22zX3lkfkqFuVYi
WgUjDQWhPlGH2x46YNyDryOtVifjfmMn7aHo1RCEnobpnqGBAdFV73tiD8O4RMXtWAfbpLab9O6G
aZIC8iyuYHpz7bPqS2yGFWuvoV/lHQVKV5CKq6i13IHj8OADVYdeq6KdYVfJupkjbWG12olhrhtd
2tuczg3Xjo/WTqEOJIzKEiKZZ9X+TZRDj7f98EvW54hY5ZTrK9NIYtvS4sGwH0nN0Z78SvP6oK+3
riOw58aeVZY/647CedvoL6bO5N4Vxn0aWK+FUXsU8O410GSs+7JmM2gTKSiEX3tqPpFYoHRriK3w
XPjGx1BpqPgEeDiKdp8Mp66NISIKqGTm8ABYFjVZ3qdgZ4+iDaO1mep3DY3OdaOis8+c0eucXoIL
YJfiK/5KraYX3OWsC3ydXJtMksZDxlCv1LgI6MxpxdR4eEaYwtAXw0iDXTOk5c/Vpm+SpzGthrWQ
6aeRCbKO8VewHgNJq0kk+HmpH8vyN0yDBjuVTxJm3B4laqW8suFxCEq+cZgX+BjIVYgESo8ECTSr
HPQ2LVQGIz0nNv9ykltIJGsMvL1xq8IBY9YVw+KcIi+e0QmRbN9axv41YC7sgbH9s2qilgHPwUNg
Ck6m9t0emqe4de9N8FZDOVFj0PB2+dOmqhHUGOPwPmYYSlPdfe1SkhZUoa6morTBqBYs18KRyJm2
31BIOwFdCzlTU0r6FIBSB5N5pcyfUl8FVnQLVF50SOvqlISXUyflhyWxnXQVBklLf0Ec9EW0zjay
BmtrB91vc5wuaTz/gHZx4Ddj2WbCvkyrcduTXQZlBbBH6r7Gk7YrRPe7TYdnPQxIJzZ3TOvf/Tgc
SRBkspy59oMK2pB0qac4IjgjURrAgu0uy63Ry2aDrJquLIcTMkfs7nXGcM4hleY+EvlBvBPQmq6K
PnA3U6GjgSJr8yVYLNxBrt20ql7QoiyHU2NeaA0Fnj0RsRFO6bMa+3xPs2PHSA1vTMZb1i5Ugizl
1DAnZRR2KdeoTfsyETR9YZWix8Qn1BNfWTH6ONEqczuGzS/6tl9hO80PUXgMdA5t23xmlPgsaZ5t
ixR/bheUnBghbCSXUdu3yJGchuCmUzouogEmPjrrWJFpLbhWt3GV8sUOCPoggStwHjh7enJ3WaX4
ZBU4NPQS+alO4bQSqfUzH9fkupLAFZNZ6co5iYCiH8dkLZSB3opOPkMnqI9MErIXxcS6yr/CicTk
MBz3oRw/tKzR14QuHHx/fgNql+21sGoRkWE1VX60wawLFQIocvtqNAYwve7OyJR7cEa3bsSvlEYB
pdS0/2W4BK82XJ9YyJctSb1Shs+B8DHJYrQygtg5wpjEbaWErJDD4M7Vc2RJKXA+VqHMAABabjqX
3ALZmFSYGdVGRC5D5lApdUc03sze2yHjC/G5RJoq7qncgtsa0LsJR2xJ6giWW8J8uImpMEhrxjCI
/h1UHHRsEq8mG3Bsgcol6aOXUXsPde1nkJLI3dRWASqOq3NjrmWn1RcQriJRaJQM9lk3hHWaWbVA
WwmnNAGxVeqJ6hNGd7Tx+6RWy0uXgOlq22c5Wv65IlXcIS66g9sCoRJXf9u1oItnPRhX5LEQW61R
1U0Xx1/kLtKYLFVihZBi1kaIgpFkjLVr9IRdjGjB0kajkkj0awIbdttaD+QjPbf9lxtS9ba1594q
2zUhQ2+K9SyEzVXO6EhYycXeT1gt0idaiZYRQAT8+1USyTXNr0NYiItVqOQc5oF2k40E7LTMVMvI
ZOZAWvKQF3Kt1YwgaiPWqVPfhQpNwTI2GR6iOzfEb9iqH1rgV7uRt7AuNEY+3nNoOPmmpGeuMR2t
XPU8r1FhJvkrzddKTkg+ElEvry2CfMC+GuQrXYcwazH9tomBK5w72ajEfvSJ12Lw3sCZfY7r6qtJ
869ZU2Kl8rbLMCyyUvFnsVkpX8LedTxdouaSCbNz5YchQxJLa2s8C/nLTNI7K52sAzgyc5Uy7+wm
Y1zppXFWa+W5Jp5zNdhZBoJGXWkvqd8CEco7BmMMfVoT/lI6YAolOitW90RgFU9cNM9GMd0LcijW
6caYfyctjtx13xl8RvwF667USWMIOFoAYJPzJnUySQrmZu6D0Ws/CUN1t5CMPIM06YjY29AQj3Df
MWWZ59hCYpDAIYdec0c9DqNUH98Ji/YpMouy7slLjp5kNz3gN74P5HiQTXFp6nQLuN2K9Z85H8EH
RizKXwU+r6And9CaOLyUm0GCa8gmsZ0XphOxQpy4TGgD7Zbo3nfdN54nvSVbY2p3LZbvKBQV+AS0
culsX1aeHTzwhaWeOzhMq+o7RYSPC/76zZy6e51fy/DNDXYuOI2PzjQ9leaA948oJRqXTBBZla5F
1KXbJuWIqcwsXztWRZg7Kfdq9TYJ8YZRlhKCdobF9dXW7pvRth9Z9tHXvsBko96kcPlpI92XCrFd
dval82aTqfgi9OUxsfInrB8TQjmX4JpMfLgcz7s6bn9mTLAJAmJIgjEfr+AcvydRdagq8ZhJWkRm
QqFgOJhjBm+ueLQsctpI6hVa/diLdBsOtIpzx793honKcld9xU587wYvPVlneq0AA4kwoia/CpWu
UiWUU6K0WyQjZEcEMCurrkzXVu0Wnq6Vr4q8Kyb5M27q32lwMYhu2RUFKQJB45xzHeZHG976EEJg
vMMftL4skqtBsszFKt0A+ajna3poVJGYaYfFphESpverYdb7MPhRDYFySJvxXvFZCgpY9Il8mOTu
fwV9C3HpfxL0Wbb+3wr67vBY12PSvWfyP4v6vv/wH6I+Yf5luzorKS5J1Cn+VdTnqH9ZGhNvHga/
YoEf+1vUZ+p/scumOPhPLeDfrCTD/Qt4JXI+DfGca89SwH8Co+6whwQEtP9x/9+yltgzmTX1f/w7
SNb/zEqinyVM0zCEpuqm0DR7lhb+q6gvSQ2mPIUK9CIpHpkI4mhLo0dzZK3m0/+pkdkGinbLKQl1
V8WaDSq53s65u3WG8dTFxvdQMEmt56lW05tkUjdgkAnr2qQ2zmQxMALYSTfc5KK+712djFqlQTcV
Ahl1QnMd3qSY9VfI5kDFt/xvoPAPDAKNCNtg+HzNfHRwvpyo8nBq8FpxuHUMBd5a2BzNS5lY/l3+
EVV4+6uYihv6/dXUuyQdQOHfUKzHrpKZkVfj/PTMuHV2IwC6dR0HryDANcooVntsXZbFFabVE2Wk
5yh8kFFV7EZszZzx3T7Qxc+QGspOa2q6oMEXAPldbXDuMi1ZJ2Ph3lDswESsD8pKSZIjwTkUdef4
5hSOx7q0iX2qUSThX/bBA8lMJ5LOVFd+qwEMZX2wVpUhPgi9+jBG+QXjvfRyQ3m2BRWjKVK7VTuS
49IlziHtQsQutn4WPt48gmKigzShuRnnfqDdEtNDyEKke3BtyPQgns0jKsKBqAGdQbhteZgI68K3
HsvLGMLLiVz3mNvdmYZWc9LsjzqkUmB05hl0hjjbIknXQ1S3LIKKeFfhf1yruH+8bhDQXhYCKqZc
MZYNQRQJ4R0NpdpONZ2VOdc+jUi+mrrlUg0cm3UeEBVES6L28gmI3CTqJ/TLp67qQcIVzj7sVrFD
cJyqNL98DdYeYgzUXfZt64r01jKZ7gtSyD0QEmBV6uY8JYlySPLg1sqZDQkZ6hdXN8AomT/Rmze3
flDcIHQpTgo8SuqO2l5RjcTrgU8apIg/wfwHRQ6/JsKmfRonDPN9XB1Ag9KybP1nkjvIRc2FoDUR
ppuRwvyWnCmu9nFInI2NOtAJSpLdbLPbp44+7Nsk52onegzS4WeV5F4l4fuwZCGhgSuMlSm/mWHV
63jAhY8AH8peYDxw4Q17RUCnAB6pR7RJ6gA5Tj8UW9VONCDr1D7dhuOEGV+PfqppPdsM7ki7nzb9
oLeHqehoV3TiraEStFdBJELysUkgLRuUo436Y0BKAm1Fd9ZoJ89Uyz97jEVeNNSPrp2Db639N+RT
XHmzR2KfOOIyeTYdSnuzAzsDRoGvV1U9rTN+uPCN6kmtPTR3k4e9+1D5AIUrgtN3+Wif83dJRM6q
A+64GvXHkbrePsj6e1dxtqpW7ltb1716TINdIv0n5i6/HcgCq3joqQNZ40GL9J0o40ei28pN2qg1
c8/sKyWFe5rhB+HkGxwvTOVgrDtaUN1YtAdXToXgOIN+sEYxd+LNGvd8yx8yYj2ZSW0Nd7PdJLr4
KEW+o55S3hqu+4Th7aauEEShoY6AJqbNqYmf3RjhkK/uzAKRUWMTBhe/aUP3GdMKXU0DDbeRnONQ
qtCUSNGalWYEsJAUQ3Vsin74pYbP2yI4fh1mU0E0roNZXvdp6Jkn3wHWQ4VYA2dBfvxYmh+GDQlf
Q5CWDV256wUTCsLQ8Hzq7lOGfJYVmqRlHGtM6kwSnwZKsDGIUFlqNINlgHAqIbcst+4rAzkjaQfp
XrcYjACy7/pJ7mtyRIhHpNbqZs+JXruHPC2p4J7iFtc4NVhS0cG9uDvT0fU9pGpPIvolLgD4itMT
2JYYM6eFnpxqvOYJs5gGWxYF4THc9wbwDkuzqn070A2Vne/1tWSxT5Nl09Ukd2WCzrFVv0yAitS+
eWosm1yL3plDFBgupjQ8Qe3x17YxS1LNe9HpgMF70j4Cegt5ND4XCQzP2Rj68GNKDIA9SJoJZD2M
HUinVFjrQQXKMDBNHQ01pmh6NGadTOYifjKOZKNTtx0bagJtkJ9jW9peY/3Ce8SKGPK5O6YgnVLx
S3Et9Eapv1PwsFEgUUnibIg7J+SAoGgUerbvTcL6NFPtQaVftmr9SNlUFJps/EM0LOXH1GBXbmX2
2mxmyosSicxTA40gQYpljY9E198L1lVqJ8tNY4Q7tHSoRwoyhXMIcCQMHpSQUgBAEUaYxjMC46u0
s5fYYsAYK6bkRkVtTGsobDpMdFtLpTjvJmd/giaQk2E3NToJOZXxaOgSeCkVlLEsMXpmnMdMRHad
aqPAyQKvqEnAmdpxa2E8HckzzEu4LgU6+TwfDfTQl6bz78sKYWaqAzd1OYhorEIw/1nSraN7NIbb
IIRxoOjdoUEEcWTF3YAMsKmhOo9qrjWU8XXKPM1crSDdaHIcfWsU4KAp6rOC8Ry21zLjOw7sfEcC
Rr62/eCe7JFDpocbMyzuh2Q65BGHHLiSZB368q3DXHsOED9HbcxHsdqMBvmsTwSdBLT0kuIwV2qc
+oamGavJBasCb6Iniaf/5XQlvURnp0fgUEagfSNZRUZJfdhKEf2xUorL8RdUjMBrjEDy8/Q7zTW9
Joh/9a44UIC116X1KkfnlxWmmtdWL7UDfC5u7jSzfw0QG3lRWd8q0Q2Dgr/WBJRjmyocbxBMKw34
9qyY1AwU2ziXQWwfCBNNEWM0m4yxgIwMOoV1M24aH8Q/s41dUvgH2R2sqiSeZdYBO2P9wTIylSR4
Agk6Uoi/0YqS6YgZbFs9Cm7SxrjNu+4lHtNuJQcHrTwHV2MY59wPg12EWGWtRvohyPNX9PSs4xnd
1th8CbWun123gnI4xp/6UJIVphi3RdY9TxF9EYBpZKNYlGYgbJ6CZtxxcG+ckJCZsij43SGxzFG0
RZI8ZNSHsrKk3W9v4xQ6pUs+DPEV1Spxnkx3DsoiMcqHu2eDWV4BzipWZgwjZlgVzK0Ko6pWqYUU
pLVxCtJFOapO9hw4am/subJTj5uVTMtN31jpqk1S7GRYAQqqxdRJKeIe/KAfjlWBcO56s+xbFJDL
Pg4Appx2BzRtluktwe7LzSLdq1ROWSXYLgq2JZ9cCov2ynKfkzM5UL+HapHWR19Rq+PU2YhMC/wL
RB2Ph6h4TOPWJCKXYsgipV5E1ctNPMsurxprq+htb/kgyiIlXySyi2J40ZyPDQ5LE5rmsn8xgi9b
y83yjLotf2EIIdpolh0vu5at5TW+X/P6clpBUtWpGOPiEJUfi+427x4DqboHmy7PrlBi0noywEIp
ZKnj8gTiaUk9d/yDuEIynCmjav79T3yrmyOKK1yz1vFszq1mEWyVzlz9ZXPZeb35Y98iCP5jn4+4
Lq2Nav/H/utdx5cZEa+EcuU5A3kYKgSDzq63ar4JYpyWhd2Lab3cN4X1AuTQxeyINPL6sy7axWTx
fS4/c0JG3vSteSQp6iWNE3+TLftUEeT7GsDG9Y+XrT9esIppW9giBP08O/quN+ri8/1b/S5rC1iV
SMZ/kWQS38Axtrzg92bg2696nNubRW+6SNKXrXgRrSYN2XqN0X5+i2ITwt2nvudstTOKw4swfSY7
BFpNoIqIcFJ//2zfRI7v7eW7j2xGc4qudHqygXewaJgXdfKydZUt9805LlL1oE8mRcdvRfCyGZRA
dRMM60QOxHys5nU5jZYbISJ+hWI+ozIL1bsjWdRohQufwuXUIXIU8yp26ONyd9lS57tmF5UqMZhs
uh00cF1tNkCf7D1+yZ/QfdpTLrsAGpq9R9ZS3bF7XStF9WQhggfyudGb8a0mETwep+FBq2/MsYof
HGntrMr/UflVchRKLzclU+lt3JTVthB+hGKEtqtZPGW5YW1jB/KsQSPbQjK3C/ORyyU5k/N4yWLO
luMmn+aZh07B0gR9ukLGBMrRSaJ9Pdm/dI2oy661PQPJ00qbBM3kSL2UbaJR1zecdQ1K7KCRykKg
nHJAuScRKtTxqZ8ru1rnpxcd9sautEFxNYKlNfDdmJoyhU0rKG5Vi26hpeqnduh+dnpGBnCRkJgJ
ZXgTJTpBDcEYH+0+++IMfzK50BNNxrpMUSR8NVVNtikNKy/pZxM0KV+1OjcV7eAwKqMJANIH2TTb
l4JOXnSDGaFWoaftFwFprDflaopYahazCnVhBfSLqHSRiy6b151/PGd5dCELXJ+X1zTMKqdYV4Z7
Xh5LFvnpsjl10CDyAWx+zpE2OSjktflmuft9w7IEw13Mdb7FcB2xnMGBNOExCdWdXQxUKN3W9Uob
/4nSuXeDOnXb5YWQokHMmF+tipFjx9U0HOzh7vqYn2Wl1ylxj6idZ5XzEl8dEWPNf9jON9eXuN7N
KFPjPpGpV0udS1mM5mo/C4JRjGTHIplTbZfN601CBNyut/tDlGCiMa0Mx8Zy/Ds4NsYkK+clqPa9
7/rAsrXc2JWLpAD4Q7FrM4FenXNnuYEY+q7XEWriv3cVdWGuNeZ5OOX4vpbvJSoECd6+SV9kBuig
NrpBpEws+KzvXX4H+4rUCNLcHdfLT7zAI1TDetUMOkQYKPXZZakfxzY3jjpdIUSjeLI7V5B2PMeC
VhYGyj4q9L3DxGnJ+12YAMvWQoL4Y5+pa2BMe91NvNz0vWBWamfz5ZewmfkjowIphS2htU33IKvl
QZkIxZVMIvvxrM8jsd7xKZetbs4cTZR+H8xmKdqd5NB0+p6Fa7CpODVW3+yJ5R1My4BI4fYfWAqw
kvps/AihMPCvD/ZobfPCuBhY2I9RotQHp3sbo7499i2Jn4Wq7/z5AqnbstqajnNvzB6QxUhfRaga
T8v9IRlyTHUzeSsaAkC36A9hLQYo2E1MQQcn/r345JcbdBlmul/s8WqqVPUJRmC+c9Xk2C+W+fkG
3A0oSsHXvaQlL3+3PNpaJHgCm55ND9Fy28YVDATSZ75xGN/Pml/j+i9+W/H/233OYsm4/jvL1vJ3
133Xu9eXvr69676o5GT1A2pmtSCA6/rKy5PF4tH6fu/XvwkTh5gbTd9cd30/RdHJf7Ut4HItKuwj
YbXdEYiGvYU5cbugKvJRyE3LpZclPqcy/pf8SPEqhAIzG3GWnfk0PPdNExJ1AJd16mnBzAaHPMil
Z+LXW/2XDJPlkB6Ec6l8qW+rKYJy1t9HBr4dZ3YLSAi7q55wHjwvKa2mLIdP0MzX4SISXEwWYMry
JtSqe+x1tMuOM/OqscnZisDyNVPRHYfOj5NqEqbZCtp/czTSUh5Cs4rEmmyn6JDOlkNCRO40ItqJ
KVqAH1ixl9fgKo6XqZ+sZldpCeNS2O0kwnRiA8rvpLP/JQX8T40FLPrU2P/vIQwPYf75+99I0XnP
PslcWJoVh8//+Hf9+w//2VjQ/qKYr2u2QaNAd5akhX/QAoT2l+OaJlnZgh6CIATpnxEM+l/8BfgA
29FsUwW9+XdbweTlTEvVlj6E9f/TUiD4iI7Bd+thfpt0FPjPUE2D98D7Mv4M2CqroK1S1833HJXZ
CkXoG1UBW30anUbfqX5+R8Ot2YxG1a27DABA7w6om7KI6YimbdtEXKCJB+mdU3ZPTj6dpG79cEhm
WhnyxqlnCbAG4z1+T/34LHJwvIq5cqJzmOaHOr8Ylryn3HTpMeFBLx52HSR/18VoXeaOsxP+9IC7
2zlqxT3dim1K7d2b8p48QD/YB2lySWDbeo0DlkM3WJUDme1BnKov7XQWlUPlfUDAXSrmMTbAdSkR
bkQVtj0Zu19NqZ4yBUUz/dgkVMFy2Bc3g9JeTnh9m4ymJIqCvKNIlenRVzQiBSM24FIkLD31QbuL
k2TfmOKzo8RdufPCve71tV2bexfhkY6VIdZNmNX9rqzap8bk34Y+S2n8dz+ODwo1jCkMfo8EkhqU
Q30C4Ky2x96oPArS7TAndefYz09BzbcpBsXLsu6+V5OzbJJznpn7NiOk2aI0U6pERox3shIXRaon
0EOn3FXvXF99CRVrb2TjnV+iVGUkS7WXSqnR8VSbuh7R+ifnqpFfGuI2V5Gvfj0+SKd90kPrRxvT
FDrWfr0RuXMRxkCcIWE7cfSuWdNp7PmYcXZGZPwQqv5BDw5u3GAJbreo085cMe7MaDxFMLPdKj72
rjxWEWZdoHSSdhQQonOhYc5A+40UAyu7J2kJ6ElPpk98RIF86VGY5YLEirHeCmW8Uyf73IyvakL5
0jXDLyPlOKAKdSIxgvh5EuZLc99nwWaMIJSS3gVV2SFOnH85r/1plQyaR1ce/YDxI+6S98BKboJ+
4zraXRFa+6IJjxEVU1TR/4e9M2lu22jb9V859e2RwjwszoazSJGmKVmWs0HJSox5RmP69efqlhM5
Tiqps//eqhcBIA4m0Oh+hns46m12lnfYCMcn0ZlorWZfyZu+OVH8remnm7yMtbY8YX5wxuDy0Wj2
BKCvs46MsIGChD7tZymPgHFHXmZ3TSbWwC5vQYmSeFuNp8WtKaCZwNOt4DgZ45WmCXFBciysVWY4
l2pxLmbMFaynkxHbhyiaT0mcf/MjVkOdTn4yWVSWs7PlAL5jTC6Nc9BRfrVhw4bO9OrX5tn3t9hF
P7rxfBtr+zkGDb2MBpo12bnF0Vd9xyyy1TRb1w6QKnX9fC2a6FvY+e4qL6d9NOUvno70vt1tMdA6
An/foFEBf/xc9fN1kDVePXl2RPqtzTomiX5XgEbX55yKWXZEx/9czMkhrOCjtfOTbNIXCNzi9nFN
luycjaD6Usaq1j5k1XZIp33bDDc7F4+tVpwHOR34X6d4eQoWcRutVRVNN5Nb0rr5Szd8wffk2I/L
k9csT/IO4ghx0vIMjHTxIi+MHI9YEdy8ZNxo1fLUzQI/CerEI+4m/KQQ967JaVeWZx8ck1ujNct1
7PRrb457FJbNqUAjs+Xz2k3A78kCD4VJjLxH57lDYBNa2AFmzVcEg5eYOSG0xYPAQ0+O7SybTvLf
lkfMZePQPyZ4ZKWLuU/T8pwmTAUiXk6uIzYLCvcrUYhd0eXfJtveJsnzCBEDe7pHqrM7OZjQDNih
cfAU9iDki6eeK2UN3vNUA88B+Pek23edFjwgTbjDzviopVIwjayrXK5eO11jZ8Jcxtn05bYupqsm
5icvHffYaDPLVMmLj/klTosf77vJudit/hpDwkjCCKeDiM6k7l4sb3oNnPBTCYGCQuA33EdOgFLW
6ByftCjZ9jMRFfh6rN+0azhW91Y1bFxE8GezPzRLJuFXF9uB1dboV9C+ENHZdeCsLyfrK0yRj3qV
HvvWQrI3P6PDKzNGKYvNkOBKuzRl218pKn0QeJwHdf/YdQuwWnjm4XSijnGW/8e2ZocnqWYxvCZ4
cE5knBpHvHbhdJ0kOd4Wj43JI5ba9T6MQW56QNOZrBJoRRimiBLUTS7F3B7lhG3T8kbB/UPAytan
y5ORFi9903wywycQlI9WCHA0sadXM/69S4K7aHIv8pGUc4IeeJc45d7xEHUmz5hhAGkfIv9ZiBqf
z5KVJrCfG+EcWBNjMEj9zbV55pmoVtlwpYv90vMdecnsBqsiplSyGi2XR614SYOR5yO+b+OL/K7C
9C7qicNExTAhRYSa/WuvaZAdQomyjj9QywTll5JsYUgEmIgmbQRb/zhpINEQWQAFHIVr3aH0kzYv
AHMHdGqMV4zupa8RBSgqtPeWRBCao3tMmWLvQYzmmNvN+hYIn5V57pHl7lOeLPMhHaj/xU0HRDh7
LqbpGlTZfJqhZfZGB5vQsVdW6PcUfjUWvXKcS9bZXluXzhSsSBbRn9QfpzEejoZMxhTfWO2pc/OS
zPuxQIXacz8mcWruVKXzveapDjW7/V4CBU3BP5s+vkw4ZS6u0ujAiz4PINEBsPb3wJzDo46mEdiC
PFyTTiTWOmgX46g2oxRRKVK734U4HBm4TpCJhMfQL3dTlX+OwXVvox6Ovg8JgHZ/BnByaHaznjwZ
nhHfzVjB+fHCFCL0Q9O7tIG07VIOm2HJtiUOHFA3V6wByFM8+903t6X4ju6BVIFNMXaaVg0iHbPH
md681+p43BYdNfZGaLIcXPVvG0GicOIftxzo0l88WoQ7giJyEoiXMcD9XIuvZWVXkMDsJ38V5M7L
4gSHmFVg28T+C3bdmAyLwT8mpfiVDsS6RI1sCyUdYyUP/L07sRrn9pM7ebAX67Fco+4Bh8EBoEfi
g0QHA3tJzddcy454GV18u4YZBfMoa/0Dxm/PZHEkajzmacvkwSOAF/CtCJZb1M40uRFOCQl04EN8
yXWwAHq6xU4FwiJKxkx/k9kgbZx5z57mXpxifDTb+TGzK4yD6PeF/n5xkpfEPmgjppBU2n4I6r9D
cf4Cvfl7mByYcORc+qk0lj0D4a4fgTdJ6tpwutGJofmCKDnY//wRgd7H0J8uwMAXbT41xFGT12z/
45t/9pj2/cAMyB4sx9ZtMPw/2TAH9ihKQBQlLRTjCteDFj1OxDneFcwvBDpJ2q0noCVa4F5kqPQf
Xy8RRX/ND6S8me/xL9DNwNN/+vrR8yYE+OvqYPYE8cw1ZdzvtKambHHLjPHmWslLV93108fEQeTK
ZlYjsI3T+Q3ahodf9Hv1T3fgZ0tcroNlofbsErQF8r9/vQMRABn0I8MSmsT46EzDzSEyybWTD5hu
rgkM8v7mwc/zG2ctjHZb5uJGgw6SLatPTsAa2CjT2PhZfv73SyRztL9fooBqrQfYy8B+/q//shq7
gSWd/fIQCFIovTxZsfVR6wAwTqO09nDANWXiqxredUd8ns+vRGKPUXeFW/miB9OrFTMBqPDQd5Zr
tDdd7TN6RE89Sxdk1bU7E4YQ2+ENCdJi2ssQxA3GfYZ0RcwDIKN0HaS8n0+3Ik6PfqFfFwunAe7F
CKQdMD0I8+GWinZr2M+5r+8aFr/QB9pPtav1u1szj4e8RxKf3q4BvCoeIE667U6n7tlYdI+LCI9S
Wq2L/tmd7AsUxrVntVffEDcct781geDj05cWCgpr2BoEGxBmRs0q1xHXyMn/ioryEO4jj3ELsvnf
78I/DQ8bXJxjuIbumOZP49SESl9Upl0eYrPb2ZV+BSN2LPKvKrKenoy+vfv3LzT+5k0tRyRAQZm1
+3gr/qywF4yGT27Kkxm586nL04cUTZXUekqr8dax8O18O3uZJya1RfJkxPBIunts7OJoEdfng3Nn
LA9xV96VFezF4RYEdOLM8gP4PwaDTkCaD/PVGkMSCfNDh4FN7y8rtwTSIlg6xvJ+YT4UhGLyc0cf
aznMdgf3YBOAyqwgZyQEMboR5nQKIPbM3vI0kFUVDmJPKbibAjslY62JcU9+v0eq5Fwmwy7pvvox
0B4jE5vApfc/GdnG9OpDMmN1MI3wplID9r1do6AGIMqs4eTnMAn98Bz6IbLPYfZq9AK4z/BoQiQv
RPShzKan0cMOJRHrgRSMCNx6NtFQJSHa5o71pSUdrfLkRQatfT3u8Y2/FHNHu3t+xVLj0S4TUvb4
1rR32Pc6Irqj7AudMj3DSTnHvv1s4lI9DsfCnvFvStFnqCGSORs/Ejuwbi9GHh49E5TAFTbfIZ4d
tM3m09D7z+5gXGW6R8Rymrcaj6vjveVJlXswxcK0Gx+b8uNksmjxO+jpXwI3uow4RhkUKT1jOI2+
/hr69sUzKBP8+0j7ScmREg3jDH9OYJ++Zzr+T0N78bSqgbhZUr3EA5mUbuK2G08Y0X2WP7l060P5
H7PtP836jk7I6fueFzjST/TH5a6l+eHlwK4PTkZC1pGYVv+9pP7DI+u5sETQwcSm2PwZzJrEUg9N
h9Np+0OJ20xHESdfHtsp2zcRyl+Ugj5menNbFmIDpIMnA5ZHnH2TUXYbLDgeutvECraBY8hKyyHQ
zEtG2jOY9rPHRIgzD4b1vAeefpemX32Xr2mG7OwT0dlUaeVEnBXTk4iggqdM1W2boee3bKVhMVha
OpTiZnH/RZi9mMF86vv+VGHPIvMyz1qe4sC+ZLWN5A0hObwpx7st43RwSHTkP9IhDqERdpkt97Gi
aAG+b/DrT1CjCBbBvaNVZ6XnYBSPhuc8R8V08t30XLbWOTajrdbNJ5k24ZNx1hcPmcr2nuFxWqIP
fkjpo6NeYLZkSVT3VtNQfTYECKcQYxYxEXrpZvLNYbnQZnKSJDsPE0YIZgAXLjv6uQWryD7Ir9Nb
JpohdZ5LVzwWXbvNGu8ZTTdQof0tmHLknaNtGI6Pcga3ydf+fXBjZv/35ZMhFqCuQHhh2w7I6h/H
Wokx3kR7Fp5TzvJZFnjGNGkL6Yi8qcXIms6Zfqpgoq2NmHukTQnUOCS7Ju0B4FSOAfdwaUnzBlJD
YbsXYft0UZ4c+jINGbpM3Ybh2hXTLdai+8437xs//RJI6BT60Su6ujTYP89+9pKafL5ncknHUtzZ
qDFUFP5KR6yEyZzXUAIYePKJRmVQIVr4kqFzkbNqswyvSAcBy+tOSThiSU+wxGSGutnZrvmm2T9q
mLSj0LM3KC5QvQu16Rb4w80QYiOcaVdUv8ok1cNDvtWmvbP0u5riSGeJfeEQ7VB/oRf61MSYXNq/
TqMNC2vcy2gszLBiJJmDPHgpsR01xNFuu1sxjK+zmPYyCHI6WbIACQqX28W/FAm+PbJ2T0iB0l6J
eCSs8GNNia73v2YOXPC67zf/fqP/YRYjcJP/AwpPZfun24wNm5f3I3S20S83HR492PtQ1xzHvRzk
Vj9dbfcY1tF/jC/cH/8+vnzCZ1ZowzDBLfw0fTa2hTSELcpDHztPRZuf5Trnd6CzxXbUuRl5cQ7H
fiPrZ1k6bELLPrQEPPVM4YUKp8mDYnUO/ERzU2LrKoPsjLJmqyPJQywGCNulkGJX7UrGSz6FUo8e
NNWNMvOfh6DbSSV6OWWMyVlo2r4b3D0YJG8kH8pBMIbF/Ape5BLT9rcp7qVzCzgrPzuF/iTn3ZRB
l+JxCCR31aIUgzdIlxbnORAbFAhvEUEP8UTVLCgPshiV3M3UvnchB4C2PJfQg1G1u035fMKEnt4w
z3BkZS/yN1uL/rQY+lO66OdGcF+yr5qXn2ebtI/3ZgkKFV67NV1mX1AXMtCBInDqGfYdmSvWrqLJ
Lz3cACd8ph4oUUP+s6xQRIOOw0/Mcmvj/1R8k+UQf0C6gsj8t6oJ9kMxnQ20bw3YrHmKaFFxdm2i
jnlZXnFwsUJmokxb47OmJdMFkCS5IWHd4pQvi05PYZw/RHGIWZoNjTJujNUCf6sj3UUw8zjrmDD5
+rnOqcSm3gWk64uYvYusWkPzWMtqE9LgO8ASW1mEI/d6lT86sIhYMuPaaMlR96impeImV/iEZ2Mc
nAsOTVd5XJvzSYfbSLmoFcm5pJw8wEwEiw/GArGHJAPcFEIq6HP7IGdfWVlDnOPR7ocPBnx4mcTO
4tGfx1ejSh8WijOG0B+0o5x1YcKe9TA9Y5W4R731xU7Ss1EKks34xYbP0WoOMzTV12IALRSmoF2i
E9rSz7LSVpS8gKe31J1nlvBTmrN8EF3W8UPauPcyYDLy+Qk853MaxdsK1raRLa9DzFJHNDGUuBkN
6TEOqCMGaL+6C2oNNDyjnay19X1OebHZgqgiuj3W9XxSA56mhwwjE5bhaeR6MnvZVAVwpoWVTAIG
uTEA30INcY1e7p1cfEq7J4N0LoO0mopedY26vhxwsvqasqjWE7lD14AhmgpaEJQXOm94yrFFgzLM
Stow+S8DukFUnZmOZZ1wqcPf/33WMqy/UW58mW1iLqjjo25DC/rr8pTPFuoWtoOaoDfjuMeFXMY7
K/xEnYuCh8B9QiajvijuKWPSoxmhlJYbWXuWA6uLA/CfPTlAj3LcqhrzW545atpWH+CZX5uUALdN
voHJeE19jZbOdGHxfghQ6gZ6FcGOBd1OPWjcdti/IR+s46w5JaA07IE1p2w1e6vn/SqYxHywmrqA
xi6uhUeSHqHQpzs1IbO/nMsqeTZkFcldeEwmt2h3htm81G0Q40qKq6NHUaOtqIX2FbVN3arH1aWU
NjcufuOTiaIFwhkBVW5EfZ+ChhRx+Ka3Vo0UTvFNzi/xgspDmuJopEOAdS+u3Z+2JpOTnHMeQABf
ENqi0x2/6Ngy+cP4ZOlQh1Jsy2ssQozjULVbuYbnWIOFkHAqt980I6GeXHdFfgbTtJPPX+cFD4b1
MNDXyFP9Kj9NhkmRKVPj5Jh90FpvW9ETkKMi8+Ad8SEB9f6W8rKsDGi0E6D/HGWmYXfDo5Ehzl3N
r8gRbAV1+2JGyCAwdoe2JgqqxE3HJ9mDTjGPeIsi/1+ij9V03/JePFpAjuQD3Xt/hP7/23f/j767
ZVDq+uFJ3bz0L9+765eX4vf/+z8Plejj/7N5yar+L4S+72/8Q6Xf/YW2toEAZ2A5ju3KFP1PlX77
FxIc37IJPT3Tdagn/dF5d36RHXmfep8Jld6zyH4ghPTx//0fuH62Lwl9rhUYcKF5108Evn8l9Fme
DD5+KK/pAZ9BZQ0uH9RCnerRX2eXALWFHvEE7ZSihQ3vPqy3pe+LtWDJXU9ddtexyGFE3z2zwkrY
f3iEAvS8FNo1n0NvnTbocaVo3doDHQ9zwIHXAFQJ9cmG1xShmiU2uZcsKIYBuWt96TpFHdUqlw26
/vmukvR2I/X3UwDmTQQwBqri1rniGe3ifaQz2bYCKb+p3DeNfzWsrGL6gblttQZ0NRGucyP4orfe
AxiCT4jWX0ZaIn6NFh2EgZ0o5pNdzkcfBS1iqXsnMygPxN4ZHXZrjVPGreqTr1a6QHrCAhEUeKN3
t8yRmj0o3m9rAeewd6p1m+ZwgSbnHqYTiMRk4xcs+4NWfsNkY6/b0wlVrbJGwaETVzHRGTLzjgqB
325CWOoxL07ypF71tv0JNewNAmJPmhdZKyjIzODQmLOx+wj1Hj6BaBAKj8zXxbApuhOSZI15a3Im
LNd5QBKXjgccolUKJtFvtV97sr26KV/6zTD0QAZncKFp265NC6RWVmG8N7WfDJ2ZTB8hVSMW4ghY
NG6CbXzknjXPwwJ8etLT4TxUtOk1IiGn4OdmXAVgsbjplcMV6XN8WM2wxCc5PmT6nZvWt76cgOHB
ETNEdr8gCLL2EbKF3pG8NDPsPG2Gw7j42W9Vfs0iTJMj8WALvGP5jF0mW1F4NWGtbeoY3SMOFw0R
4DJ6R6EU+kuc6WtbZPca+o6rJs+THcV6aMu1+6oT7Ix4rR97LsJcV9NtnspDimbeNvjqZ8kJNK++
rkVIpXa50nZam8Dr96OkRejID/pT490ZNtwELUOwxQBBEefxJ2GNsApbiVU261NN+QiOTYd8o4B5
5GS7wSNudjrImdxM1L5RDZlT43ORT/DBLNbjyM/uXdLHndGua3v62OF1dcCI7WINRk2jN3TX8VA+
F379nMXZjGvAk+1ln+sM5+VsQOzK9LBMLcvXGbG/gNi/wA4686Gq2NB5DNdDwntC9qh6qEb3thT+
XRWjjTHX47GN9E3nFpimRuHVRUDILC8evVGUbJwbSLGJZunBWQDfO1YrqNYu+PJlp36SPfneopf/
56aDkLupSin95EeBhM+UPNDj/Bz4uE0Yxpb+2e8iI4/D40MGvg08qqb4VNfcInNwt30UoR9mf2ks
8qw+HggSPCnrgREqTPyPeT+AKdA1ECu69VsztOkGvYlN0IKjcPpy10pJd0uKu1OxW9723s9pxNpV
gecwWFi1EdJSQO0pcwE5GW8n23/+/kcJW2wUZlbY7/vaUjubAuzR97/98HFFJpND5ERq0rbjNPZw
rZCGU0dZy2WiN57OG8uUqJ8pdLk7iI+h3dcHa7ujceiL5NXT3Ynpg3jj0OFlac55fCjQQAUQS9sr
rfAlD4gujqii9cdoAWan9karvs5zZuzeT6nzaWtekgkPjvfXJ/JN6mUza8lmcaBEaxLjbEqoMTKz
+2LxzH2rIMTqnC7/oF6iNmUUOneRvn8/8/4q/FUBHsNIKZncDIg0vPPtk2Cp8Rd1YkjSW4Sy1w4q
ZU3lt3rohBPusjKxH8dCO83gWEfwOrUUTzE7phvf+jLi5b0IAx+CxN83+LlfjQ7AJrJY9qkYhr1o
+vSEqN0jIKX2LMzYPLhGeVGy0KJvohUkHHzZO8QoTXThouVlorGQQMgzlwzZP40ydCGD2AYOX4H1
xTQPj4igV9tyqNxV6C3axlxy/9h6ZkOBtvoEHQuOrKXT3azFtgfKjDBuuu3j/iSW58mAagqDipbr
8txaSM442pfF8lFX0tplP03w3qqsu8tMvTrWS/fSdIYHe87qDsVcfbUn2BO908SHuBtwaw+w/Xa9
7NAn1HlR4y4wHom+NLP4vYxFd3Ml5M2Ez2mh9CZ5u49LKZLjUpUUAaEfogJV0f7ItsUc34o0Dnda
51IriF2p8aM/D3287LOo8UGLsOB2htjEv4kaGT8z/tgyunYjLc9VNeMBZ5RzuoEk12zCqIcOiTYQ
pOxxNURFdAfrN967ZnhS+uWpNKiL266hWCqfO39Yp9IHgWI8XF3FIlEbtDQ+DIM37pQV6JuZat9j
SbP1bYGUy0D+ZStHMM8bjLs8PboTttdv3J9FwLOkCw8oW6Km1SaUmNpU+Yq9H88SHF3TN4qnykTX
YwJ8qzaUoHxA+ozQ9uhKjzQEK9EXwstK8XsUtad9J/nIvfdDT1pjSY8s2gbf6TezstCaMdNKiBUo
EOKvlUinLUXOsaX7VmLS4C/6RFpyGR0lvTm5e6eEOWjpwiWQPLE3WgtId9cd/O2cYLThEBWYygdM
2oItcpNIwwXjz0MqjsU6jJBDLqgeo5MjDRjedmMJZFfH2oj1R4otma0MylygwClcKkYklwHRGMAr
+ezNB2js6166nKH+SAs+xflM3ddFOdbF8hY70iOtkWZp8i7H2KdxheuDclR+v8s/OVyoP+Rz9rsz
69X23eBCMe3UQHgn3qm9pRFUJmAdv913xSRSG2V9odhetaKAha0b7Qq3+aTuva2c5tSuQdyAkpHW
PcNKc7aep9d3evJVkeNC6VWXSdc6dUWVZ4Xa9NLdTkifu/dz6npHaWfsHYzxFCPvfaNJT733Q7Wn
zi3ul6ZK+zu/H1tIT/KaquGm9rKidaFs+HjKSyrZ++Z9DL4PRLocdzoP1n5Q/n9R7n/A5HjZ+RIk
rjZKjN9RDijqeEykzBzOgort9Xbv3p5RxUVTu+h7MLVlaOVJ6L26Pz9b6b7fQ0sERPCeOKh782bF
8fbkvu07af3qpaBM1I15v0Xqjv10zkPqFveWEuss+Qirp/eNBKbunTpWf8FfAyUbUK94g/7x8LbS
DlIddwrEjlJZcUfYB/lYeoeqR0Y9SsqbRu29nzMiY+91pr1XjjNdSHoNzdfBjWDfSQ9LW9Is1N/e
XiDPVRGA4sFB2REL9u4IVglg/J97P53TpOU5NSZ7RcMM3HtC5rDzpNUmCMH2FCDcp0wC0MLgB8kp
BMAAepe4dapbaEgqyfsdLZS/pzqupelnBzhVPYLqkayUN2gUGcQuDo6hQlqHtoY0In+bZy+BLOqq
fcv1LFD4mI8q0xkX6YmVIa1J1S3+wZimtoyPZUrVRd3o8o0iJe1o1CP75vTcNpQ0M4FyhKJoBu/E
zR+OwWfSfc2RapkVyeWd5qeof29UwGLotX0G7fyN7Cfn6Hc3ELWnNmreVi8Jka8NyyY4vE+XebjU
OU7GWGK87fL5X8ogQhcy6+yd4hUpGpE7ZzgTvJnSTtafjr4FQp5oykra72QQHx3UrnqbIia9H1Ko
gvkI7OHrUEPG/Rr2WbGPJONmMBjIau9980/nSk2LmJLkW942hSREqt2fXj6Rq2yBkn9T53P1PgQx
qaBayZ4u3B9v+6f3/nQui6H3LZ3FcPzzi3GBfPFGqnXqtdXUr90OnVVsyX4zRrkclVTdpHTs983Q
sTq9nxthkCEuq2s7vTW9/TTmpwJP872F9Eq+Um+LZpywMMfgY9Sb1cmfPkYd/vAeLNy2TmohLMeP
j1vrsxFjeale9fZxb68dakBtK5+rYVhDtld/VxvEOPg29dcBFopeMFA0OIvIxY4MrdrQ0QGGeDLe
ddCytgPade1hMP7gqiQxyDI4XPtFPplALPGcVYt7baXMOhQcQSc/KO/Ldz/MCLoitzAsnlud5pmi
YyHyGO78erxXXrNhbRb0RJKwvJ81VBiYZMof6E/qEHQrau2KXZQGBSoecZpslPno20ZN22q3RkGA
Hz/3H2lW0q6BoFvYNe0POXXocqO4Q+rQVitCWn7yPfgEs6QC2XLmGfSo5LKFqBgT3ahT6gepTZQa
CN0X+b4PnKk+dHLhUuaeiVwaARDGoPBh1iqSnMbCQKon10A9zYEVTuW8jnEZlnYnRCnKJ1btdX0R
H+GqooTdHR3Mnh06M7SJnO+GwWrPwAfJTjpx6OXUO8mXqr3WtddwbpcDUhuYrUpiXTaaDEFlHqyO
Rxs17BngiN07enVIZDgFJgZvI9Oxt1EUPvfDMmJ7KIPFdyrWghkY3hAI0liLsU1lNASSrz2qPWR2
g12Kh1HaOLG5Nc+htLpRP1xtXBGLTRnSe0VUBLejUhrPKefWilweTodkjfsC+8ZU0vLHWNvFVAD3
aO1GuG/Jp3HWomvjVNNODZxAkuydN/a73A17k2Fhh/dNEC13ynxEp541r9WucrgtTX3elyJ98xhW
/DrlZss9Yl1Qu+ok1lMauhK4wGXyR7xvCj/19mjg0J/547wjA4s+Ql+z71Aarm2nRbFB+6g+TbkW
q733jXLMBTr7WRSRv1Uf9IM3tTsVXHgbng0IHprdNsnYCaFBcYhx0nFkDK42jRpqTrxBZ2U66JnG
DVZ/0CqL5KBvXkJ5a9Ro84MCFWh17OBuxnCDqs7NtV5wNzuVyrfs3aQYtgnQoqKMvlHsa7YAPdC/
QQhntZRw2Rop5RBIUQcdRATJ/p/HRdSMhwxV5pAmJo6E+FlU/hBDtm5itD3V2QQTtq3vlK/QeHHn
CebhSAduOKrDv53D60QLMJTDjxFGdfWhGYrxIkIUJjt6XLlOoWigqA/AbYecVbLuXe1h8Jf0mOih
t4tN1137QVXuPRRltvQsJYh3Sbat7i9Xo7gh0ulBLKw3ed081N3in9KpelzsMDx0iROtesv9gn53
fD/ifdbCLr8KYVT3eXSoQ/9MuJ3CitGtE3YzKyOFSgDZajvSkEEv217nvnUNqOY++Ymd3WUD6vvd
4N1SpIapwoCXGnTvOGYUKqd0CA8tbNkshFzRdB4Q4HG4xx0hPIxNRg1idHZJpE8bnFrOwiP9mLu0
OSBtEMEqtBD9mjp8sbr8UmKsttWCrtzbGHOs3MYVd70QB/T7i3XUODQ8Ma5CHVmjFDx/Hq3AWo/e
iH4tzeuVoSH5ZsJTu6Nl94HKVnPCnLM5qT30jn7HAmHYOU0HejxWQW5hrTNtottEnXO91Ma8bgTE
slK530XIAmkhtrFObicXNFYofJKN7/CXWrBToR9lV4c0j6NDiajmMngfmM7GRySbfWgGkL9g2OHX
UNLSj/Kx+IB4wDrGX5MySNRtYO/jX+JNu9mKxL3pS4BLLZB4t80Um4Gk2mi+f7Zg6Oy8xsAOgdqM
na5zSoUfnVp7zHGA3PvwTY2eQmphiVcnqU5WYI5bSq17gWvsyhZswj4uNtYUbO1w+K0yoIbOWGUt
Y71pQuvRKWl7h3WSHmxn/jSh4rRtUhBFk/CdYx0vPho54tcKODSCXlCJWirrc6p/RVrgt6ocfqsj
NIRqlAu2qGAvSNStLVecy86m/WdJghdySvdLnt4a12j3ViPhIZ2FmK4z6R87m8VyLPPNouPrALiu
2fmsFAgLo3bV43wAGgEl1ipaT82M2IJmbm3NBFKAYsGq0mcLWZhquY9m5AxcQv+dBbj9rl5MyOQT
Lr9j8tsAJQ5Mn0UIe79o6e+6gceEIM5b42XnYfKNfptXVGfL0lJKTXxx7YBazGcjvkwaKmguci0U
o1E46wXNDCzgfu8dGW8iN7PKSDBXPkutyDoWe6x+V1OPnQBMnX1i9T2qZcY+dHDhsKrcRIYQn7am
CzYTAxSpMf9DqBenANw6EKD+oOd1cZdlzdd6ollSGdZ3yMv/du/+q3tngcP9t+7dI3Kcv3fd7zTj
3ymz1tu7vrfufOMX16Fu4JkGyB1WbvBE31t3gf6LhXuD55q+4QEJ90GUfW/dWe4v0GXpitsmZVHV
n/ujdWfZvwQ+/NuAtp7jW2h8/v+07kzA739t3cEECAK6drYOBFgPgp/hv97cWlo8Oig3G562VmGP
on2PttWjrvWkoq7KMumFL7qPxWmDn2ongzL1F7XRipmqkorD1LEKy97//B6qlQJiySTA+ct2kQpv
lBSBHkWkK+r4bde32jszD/p96eI3TaSwUp5pyCv+xW9OqUQIkc5g+a0Pslx1NFRdUO2OYYW5rNpV
YXZmpxQJDQvp0MrBENhtEnGMR+2usd2Ipy9CD93Pnhypc9EUKLU7EvCwnEai2qloxdHQYc2vlnAc
wRGUxtZzy1OysBAWXYObKliC1A7QcomxrZ0gw85T/Ql5QGyZM1TePli2/qVAXfAyQ1tyQP7hybWE
h5gEZF0IEDF1nX/o9eE62nG2zREOX88GQGTMizeJ1K8SEaaqA4GhwLJBh9V2cGyC3WhKQLR4OyCY
UkEnfq5b6zTj5L2jcWyAN4JFHOV0syyBrFm3TwiA15Q4moWOwvgJYx1MbpEqF+NESjTWO7OwP6MA
+diN2Hu5YUBamGONUk7e2iiKjzMa5evOQ+PU1mpn5wcPfmQMhMEmy6HhP5c0meq6nbZOmCKDrwf3
M9YhK6PwtYM+V0jcdB1oC/KC3dhKkmtDmbzfp3iwfNLi29inX3LSuzJZlpWdo/4X6sYmI16mcyfG
jRfY6zReKPb7Gkp03ngPPvqh8Az7oCf47frJB4T67B04EJDdQDByIJkb+OxQtGL/bHfYe9q28U0r
NXdTJmZwbPL6amVt89HMjg7qMbSpwGnObr2KdM/e0aRt0TGEBV0auMVCmb15QdfuAL1vtRkVtiQP
ECWjqovbI4Jg1vTFTNDswZfc2GED0ZABuF9H+SnufM7S6Rk91v5QS5FrMulfk9BM4FOReMqcZnno
8qrYzOZ01UvapgRlNh7mo7W2Y/s16l2on5aHm7jHsAnT+q5E2HUP4mPfCRgKvekeaUnu2yIP1poO
XVdHaHFqQgng81lCoxnqFa5kcR9sMFrP6EpZhM4u+dmQ7Jx2vFvccV237nSf0FjYhB8Rur5z8JEp
/WFYu63zYCbD11xolP2X6mPf65i9gRbTBAst0xrKFuZ8F1vLxsj0rRHWiPjRy6Vn1d3KFljVPCVr
OBRo0TnOJoXH7XI1ShfWMlJo2FJU0DfqBieYKHtsdVx5KZaf9OXQ2JimmAL6bVY4B7fS74liMB+w
4R5OyTCvfKv6yujAGEmgq6QnrrVCvVhKpcyoBQaQ6+dgxSje0C5+pmIX0ZbYq3TPQO4kRLH3ZOgj
mMF53IH8p0FYIXjnLALqPOUwMq1tp0X7ZKG6RD9Gq7p2j+ZYsGMAfazaGYDs/NyN6IO3tmVuZ/kP
a+CrrYUV9SjuRt1dYT8WhvtrBux9Z+wSB3+rRvIXQPOVlOlRYvx/7J3XcuNatmW/CBXw5hWGoJOn
7AtCypTgvcfX3wHoVCtvdt3u6PeuqOABaJUksLH3WnOOOZi2shuZWhifvWZ0e91Eu1Y1Aalssgru
NG2fMw6zvaEMgLtHQhUXFjdCIZ4CC1tdm9O9sq4kVeTnyW0gBBNe18JPxLLyI8tqXUGeEtzsaPWM
USJQ4hDmzUsa9oRRU8bYM4D4mcqpEbGKqaPiRl8/pKxzfxlGwY9w9buBCENdQKE1NdptL6q/M40x
FYdCjxp8GuLuGuXGDHSnCQ+t9RBM0MxbQwP1M8eEkEnFoeEYE/tZx/46V3YkIxibY1ihQ2LYC1Ju
bdWNjYP4S07Zy8XwPRScBsIz1oGYxVbhmHmGyjW6n8NA8OWIkRPEpFNpRuyST0YOIEdjBI6/DmLH
UvUnZULygN6sIJc9JFTSZPIYUnfHWJE7QmGEO6MwSm8Z64POohpF4lozrsfgRMbGUIxgLMeZyKzR
/ETequ4GfQanhFvSIa4EycBbptMgCrhSmU3+oqlfQg6eWBI0oMFZfMChTNha9WWWhXwk9WMvNFK/
D8fsMuVrPpTQNH6Bod9lbaDfwnh0sPGjZBVI/yRhSex/V3VIjPWiPFEEG9wplQRmkmNBi92SYcQR
jCYzTFUq9uVsPhisukxWcALIflMi4XDUSCmRaVIeirkDBSvlA2KLj6Vi4poqnXYi2irX5Tfiwt4U
VkDk/vStS+QGep2U+oeVFB+Qid+nmfwRFlY9CW45iw9C7S0MCqRfKdaNaBDNOBdpBlU6eG1KcTyY
Uc9VJpIOQR75GiYN6i+gWTNlyfYC6h/wztBcNVVErbLktwLdTMR+qh2IcuDlRtkeolmn/0gAozWd
WolTktJs4DZRcjezinTapyYfVhEsX161kB41KjBnrWmCIVATToNBlOocwem1ky6Yr4toJJMnjS51
zrVokcfAx6oJHLlg0BhT8AgDhdVRyVhwEtGWiL18aDHaVntrmK+qnuk9ceS+vmTPpqhqTlUjTlKN
df5SfJE9I0CqbNAHR7XpFlxUwna+mVMcIXrbIblOZjJaAozahH7RN1LvQyn2EmHRTpRhT4zT17Fe
hTtNqZ8aSFT+jHFdSHaULydfaMWbOMGp2Q314ikl50RbEOakq/q9IEBG11g5F6W8W6cvNOgCVw8J
kpXEa6PQHjhzXkSQP0eYmTjS0+i4ZQZvNykTibQlo8yQ7yuyZCAfUHiJRqYPg4Z7NypJXyUMJa/H
8pAvBKRvKelKJL/Rn05ckWXnBPPL01IG9SXN7iLa4I4ZWW9UQ3KvwnQ6hZriU6KeGOtU8uzjXLuI
Ay7gKJhfRXNIvBG8oWBGWmZXYk6whVm8s8iElK4y+xpSgQp1l+f3IgJ30JiJEyaYu+NK27MQsile
1rvA+h2wIvQ0CU1pbElITEfThJqBYl8QPhjzCaMS6puwG7RduFIDdUFVoOxatBF1lWsW2Tt2U5vE
eSK5puWJiA2zdqK1dwXygIDYzwMWG/LYF0dcx+9kJDnvuxtV4Jim/nS/BaiPNE5JWUFNBZPTUNxR
ocCcKvd6otEBWrstW9NYjALY6Xxmu8pV8o7UKlvgzPMxNdzE0K4NePH7rUFG7faiUHt1GP+vQJFM
R0ORB39qEyTtkbYbp+hmS6OeVZnkvbnDLQmFb1/W1XfHlipYvSNq/L5ou+WgxA8zwUYNdWRcfYjT
1lKvbhF9k8bRwbBy/NYDmgqpJo1wClDwEzFb6LJ8JFYyxjhNBzu35GwndNXlu7k+M5Pe9RPBrlaq
HfJeHhn3VPTCtE7ClU5KJmbqSYn0WWsC5vlcjw5ghh3M4VCwgTGTToJVv4sHso1iwofg30OjXbvc
W7cuD97UFtEy8OIdZYDQ5SQRFfMe8GyzH+kDKrLe7rrQHiIqlWObgXub4fujne32iQQlFmXDrmt0
4D6teGwpALm4nwbya8LlWIqi7hlm/pbHtFKXrDhuHV6DeVQH6RIE41s9POSJ+TnGjBeRWJLoKQl+
KWdHq1YeJ5b1aZ1e4lqQKctA++pbhQpror9bMXXeRcOiTxKawtcQ1G48Ap4lu+8ghdnTYvUSf7jq
hLn1wjwwQgIFyrfQ410KbyiTh0/yvFfL/TEI05Gsneirm7KT1JfKsRIvFekdh7BTALatiwi1pJCs
txoFuapx+nIemI2KhlNYZW1zGGno57xCZA4mViC8iim9E2qt9rV88PCe1BDr16Z1VrYOk77Kqcil
OOTWfTPrxrFab8bwV2aYM9HUS76T6+JJUSRaCOIiWUSPhftYwFYohBHJzbXW+goLN3WMFHqd1Ssz
ChDZOYONAeK4g0pcVyLxR/kCEX4qHmsG252uuFE1D6c4rh+GkZDSsjeGk2BOzryYxEP2e2PJhGMb
d+/MHp4AFhJGpbcnzZocq0/ALKU7cYxm0HeE2KFjqd2e2vqxpyYU15SPW62fvMIAPVrlmXwU0tI4
GOUzipoJK2cM42ZtPqtjfifXcuFYq6QkWRsLVOM4UdQy9VFozpDiSgn8z5uR0DbCQwy7VhQaJ+yz
czaBKk50wWJYIayWrhxnt5kUAivCcE/tngnfHJv7xgpRkeXEyWCywHkVH+fbXMt6Z+x4O0MJL+UM
Mq5LuujUEzh16GgjCEVCvJOOXdeKjKfQUCQnMhYGvLVbr9UnvaAoXBcOCjw+u4dX0vWoOsOA9m/Z
Wk91jDUxXHsw22E+RyKlyr5F+6i/Eiv0FqUATYe5OieydNIVpfeUZjll5HJpoybZcQUNAqmsdmxE
ptSGRrFvbWgRKg377S0nYdqWy3xwa/MLyqdw3G5EcZVhEh1+N+YLx+i6dlWh2H3fZFX/NJTttBsF
7Z+7al3MgTQPlbfdBLqBQSmj+InRf5ukewsN6R/BCzU7yRPoBABlwQkTx7ozCRNuAwBzLpRBqHc6
ejyyMtBDpnqJ1zZ19BwwRpTVk5MJ9bDrnmMGI5RaonqM61z73kpHHS1GzWjNdQhzuIbLMCxoXxfC
Gnc00T3pwrGHeq96KDpYVqr1rUV6qC/qtbFfat01anIvhvWxn5vtviyhBRkKU+VZ61PqMidpPUnu
C8Sau2nGPqXEd7KaA98rgvmXSnHFmddia1Ki87RL3bquhTD0I13kyrxiLjsYMZgqoPGpDQwlxI0v
49rHxB8E+6eMUoe0zc+Kqr7yWvXUCvLUjPBqNxEHM5zIjUr9rTZae2TBepWUIma7Sd0tx+1GTAbk
zr3sKihGGTZKprGr0nK7EZa7WhH0w3ZZ+7lb7piicw7NuSYexfVm6WHddirJoiYasjlW3wNiUnZS
IEOYMjioEnoY3sIxCiqtPCxLOp4KfcjJLCsSUEBTVrNUz3ZWMRxCQSAw2doxBohcXSKdIydXb7eb
XBA/xL580DqjdTpLeqxxUnDhDLy4sWByJPGpbOB5D3JX+U0rI9nUVL9NMt+AqHSFSctwVCksXCWV
1LOYGK2dJaDOlfB1Ku5RS+Gq09fZV+hGhhS/q0Mv2m2mtSdCyu4iskkfKpIxLdF0qoigTUxe2m1g
EbKVR9nvrhH8wFrBJVWPxlZdSlefktnT07QkGmwYLn2knDQjhKyjsjDAxxKeGvltEXPonFb/WrSE
v5JEU1aJ8txWiQyFhqwKdIMl6VOk6BZh6oxJi1zbJIxKU7XPrs8ukZhbe60X592kGH40sjwLIoTQ
CwjTpSjeSciRfhU1DVF9fJ7BDt03mR7ShyhUcjjkCMM+edNGOF1Xcf1btEwyHFYbWAlSjlphgqW8
tA5aJxtXeMLI1snnCT3waJ3j6kMi4OFU3UxZrt6zApHdpszHXRNbrhoxIpbzAiYcsbgbVlJO3Ct5
92HIfGLWC3oEiI18VrduUxf1Pg2aNTtjCs6hmtxrI8SCKH2T1cmmsq5DNVUuQA3fzecslKxrroqh
23SadImIJ8w7Sz5M6EFtEgPnc0cTZLcQyuAbc2udoxLaf7LmPDeEOloh8PghmvCMaZI7VCkkC+Wr
IW/joGvQqBamIyxAgONkbXApF+J/Q5EJRmKo01UNrM5TOn1wI3P8yIS4vdGK9jlCHu5sQrxNG9Zb
oeFStWQeuF6EhbWjOccpYSZiu4P2hWPBWqNc1+EfJ+9yNBv8nKA7L9tdzIXm421NjDV1LW5Idx7A
HSm1nckLuR1rjWlY67fdeiPQorDQvqUmDk9lXkhhkDgAM0ksd4kaPqbryN0M1gqrjcgaBCW7SXhm
ubllVY9Ec6PLbkXXStYfuwk/4qZb2m42EaSp17uyI9s0Xq84dQSnDUb99vgmcyIQAvFEETFXyMmQ
cXS5ZXK9SXU3zdN2I0+tOwccvqKIELzXIzTXGhWE4zbpoTv0z1YmJRnaYelpW+mULGuMPJIQ2BIh
PnGg6JL0W6rNyCd6Ec6Rjv5Dr6yTHK4c94GCoUVZJZDIxQYckOyrkB9vmDKdWa6F6mBiRVkTYUfK
HfbjiPFDuAUsQa5y0IE/p15gq5P+OcyTdJpV82SaiUT5bxW9EFKQlfdRiCtRAvDAu/eAv1LCiJSE
xQvV41jOCSQI4FRUZX2T1HzWUKskEtbabSiHgTcEOmjeeQyuOFpp4c4lQ2Qpu5EnpLR4zSW6gUkF
1mjwS1qYIUHnjomGgPLR6FrVOtSEt71i3CYDybGgEd2sluUDgPT7NEy+KGqlPr93OuEOiMTGy5YY
vkY1PKZJjtOxhkporhywtdnV8BPYDb58CFqF7JmtNO+aBHqW8tnPRcHiCJPNGGKSk4MbAj/91Eqp
9LQBCDMrcWSKiwyPw26quUQjsIPX4lPUUAAgEFhPdXHwFMJyaUdO4xG0EGO5SYJeFfNlG0tNtm+b
WrSr1waeZqujeU7hj7r9YnwUqXXorOycQ4OhpcE/31qetdE4JqlXy1N6Q74mNTpd0tyqhTIrlm5F
kdflk5ncpDqv7tcxbMGKP0upb/TLwyThg2HyCiGZ2HmnVbAG1Up1llMSxg0hkW7okLq5LHCAmjGt
Yoq9kspQrssjbmpmWqlVX+nUSjMaipNITXe0amTllNGVJn+LxzUFJg9I58xobXYE27c0fRVTsetO
eKDQ/+DVAf2XSnoZWsq+6zS2GN9FVtd2IuM3ypf4JWRWdN9W/LNbmIS22uUUnJkOxln4wEIgUWBP
5iNV8YgopYpUkIArHlIRp6jyiy6HVwZzYvQb0dW0/tD1rNZnIyG1M9Shccu/jNpcdkb3VFgZcMXc
eKT186SpreRFvar6RpddjQalEEsPUiZ+1XUdmnABRyHnkkEcTRQYhzaS5D09+6ss4WpWCGng9CLi
/+m5T2LjIBAebprZTtJny60Ys7iqNeikNLDjPVoLZeoo5kvEG0mREwlJsM80/V6WaQjEgxV4IjTM
RdKvdEpxbSvSNsmr5pi3pOvmWYDcAP2CgIFMbiTsK8ZODMaBXCW1cGdiH3WYRJ4AL4ROb+eoIa2e
3CKfUVY+Bav7rcgRjpiyckKhzJgYv4bRbdSHAZnxWFRkbK4i0wObwgkFLHK9zDVziM8+S7kib7mn
4KPJWW6Wmi9LZFAJjqbQvGmN+jX9KugS2llYXAmzqJ3zMHoukl+sVCOKd13qoa7vly7DTiuzZMPh
EeMjWCyqVqqwm/K2urQqB4ixPNSaaLJewoiPrf7Ux2/4AjnTRj1wFv0lkcaR8oCy69oZjGAaNm6f
6ccq1V2xKufdMFISUCOp4NKlSG5AmaWp+afkCcbTF5yxg5ukyqPayR+xgoO0BueKmbl8KnJK5Yiq
U5s46lPTNyTfrmlcKdXEYpYudMJr4pzJU65X6PsliK1mHxjDGT4AFDQCS6yEaFR9YPKTW6STJXPE
QFG8hxKt/UpD1x+RjqHQOXGk+t6gMDIy62k7ZdyR/1riZH9MVdpDcbVfCtiNpiHci2LQPUSq/FzO
1muREhnPH2f5HUN6G+nXOLq+wgSNxDyGio3lb12gJfSMCq5GETOoJGxRB5o5GKiMuQfpQ0dksW7h
yalw6EfqxhbuLU9XsDMLJSDOUbJCmwsbUaux8NEKra8FmCKlFu/5qro2Jhx5ZoPhyiDpTxN+cbK7
UUM2rVpMOLtEmcV1JDiGfKPkp0HiTKuTR+QZoq03FSFiIs2KNgSdk3Ux7hyTfKPqTGgKrI9pLeCl
iPjK5pySiuiP2Y45Ddgl02uyhiAsJWp5mysQxMAxpfShrpQvuQG4R8uEY2d8HQ0C/YLI6g95nV1F
F3xujIYnXQP2h9qXr8HiLYaoqq8CYbRbIXvDC8dkJe6eaSJoTq3INwkVwkNSCpAr8brBNiFtWWUG
knU3UxSVNhf43EGGYezA1CBBITlFFsiwJ2g20p3OKPBeFQqdwbrcDZn1qyNigQS2Sr8Kk+UwrCdU
S40oEJrKthobk/gaYUxcacp1osU7R8eGwUVbtRXtxBp07oG/pqLhmbrpkkHXeyzLOQoLOIfGG9XN
XzVST8C/lT2NB0OyxAskX9pBeDCVdZIYKr/iuTsRFbXGj9TuAlZVF1cHkhF65m/Dl4och0SBhYv0
LUpGa9wa+UKRKN5kcvJOh63exV0321TvNVcVkoemTHUy69P7YeYQEycadgWnNO7KufCyipzjtABe
pbfTRTXKY543yc6sp4kcSzqQUSWSUNORAp1EDKqGWZKoBW/GdBb6RsewMXYYTbDUzqsgjuk6OVV7
Zr8vhFdyaMpEAdeDdBXT4Byz4l39BapKuZar4VXoCdlotFI9YDhyltHQPSQJuh0VbelpE1jdHsQj
Y4zh1KIBY3EaTgRV0VhhzPBJDSEabOk9M7c+SkpUxkIrGHMv1R7zml4u7Mi1dFgOapmZfjeokR9s
qr3/dWOs6tFNX/nzwHbfz65AFhnizlWBWBfQvzbla7EpX//Qw1JFqB1aOBWQsDXugitbedxEiX88
vwlk+t959lhtL9+e88fm99uttpZyLSboMqfHFgRgKv2NtEgLXTwe3G621/7sxpso9+fz/njrv57+
/XkzxAEvJJ1uNwXJCBkH98wmzdzUk+MWnbB9tKRH0j5fYHfALXsUFxTfRigWOzXsflEUm/c9JAJs
cWa5L5hde1Wi/0Lcvh+G57hGH5srsRPNUXltGHh76uI1Wcb5LSJosogM42zKvbYXZFLJWCzRdtki
Lv7e3PInapMFDlq7t01yual+t5tk8xltm98C4G0zkq2aNs/667aikRxzjXrvoJIKiJyJO/94fHs/
Y9Ntbg9lW9bG+qRtV5cRGX6/07ZvqQtzSx1Ec8U1+Puu9ck/f9b3e/3s/6fn/Kf7VKEzD0brb9JT
bVWijms2iqHOyrcwdVM+bxro7dEfNfTP7nbf9gbb1s+T/3rtX7vb83IAR8zb+C2atTlCo4260how
tanKf0TZf9+pVA1rjp/Hy/VF8c+Ltv3tYb1m9dObBzhw+H97Dmn61WwGpYHmb9vcHtputJi8+Fo4
/Lz8r4/YdhXC0r7xcf9fhfZ/U6ExrQbq8D9nNzx279F/E6B9v+AfAZokWv8Sme2ZpshyRlZUKBD/
ZkdIKzsCRZgmiYRFiyrUhn+zI+R/iayokBaIqzhMUtGm/cOOUIx/ifxPWSkPmmFKSOT+H9gRcP/+
AluJpgoRVUT7pCNStciW+O/siJK6fVTO5nylSwIkqTTELLHJ8v/YxLFOPMmw9oG+N/9+AjoO6iVG
vxsJYMwB7gPPjjQWmPiifWr8dLZHi9KyNu76UkX7WccQxYRbKnXjvunNc9MI41ENVNMTpOVrKolR
L+Zl7aLNlOqmNNmVjaA7gsocVp9CnLWIXPzECK/zZQ3biZJXpPwvQCgMxrQx3lcqUuR0nHw572uA
8sxKLZUcPTKlUmr9KbXBeNQWQM1UV7lUovTeNgWpNJeHbVPNyVc9mSRFuFQXuKgiVfnnBZt54fur
+ONttlf98S39WBzQGvpxu0h+nwAz9jYDiJQym3vZNgOWuztVjS6brn+7a7vZdPo/lpG/7lNRavFb
rVaAby3/tvltKdleue1vL//Z3e77+RgyOHmPbf9/2/w/f/r2Rj/vi01JO8xxMx2ovVffVvNti0p7
ddy2fh5oU+yCP7vbVqitNqBt8+clLOX/eeL2km0XVEdEdQNB+n96MrCVBSXX+qF/vOP3vdvLtXCN
1tk2Y4MkiTr6/mP/+pt+Pm97r78+atuN1oNCkNUBmci//z2IgEnG2/bJ86ZfWw2r6maNWyq223jt
Do0bwmDb3IgFek4CZdiU/nbX9xOLdfbx85Tv99ie/f2k9eGf3T8eTrfApA2n8L25Peuvt9t2/+eH
t4/4468ETR7akRWXNMxWeWayOqSQxv/zF9abOcoahYqqLmyV7/1yzYXbnrQ9fdvFXJQcx/vt3u2O
n3da9A4rzbbPJa44bls/ryzyEerFz2tMoWcinMvkXEVoOyt6gh2LRg7mn80+KJhsrQ637fGpICiy
gtFljzRrSA9JFXfo6YEiTRjcVL3LNQ2c7kp5h2ncHou4PRvzIFBxYU4HadOpNuePucahfW9Kmx+I
b5P88rUSq22b271RZ5xU4Gj+trfdbC/cnvez+8dbbnduD29P/Hnddl8gUxUpkyLaIUSieUYL5mOY
64jsh+a0rH1oschUGz10bAdZ9/bTPFLa1Y5XbkM7lCOccznRDCVZUc5W3du0DCpYk31BhTqd6+tF
rS+lls2ujBwT5ujqL9W1c5PTht4iRrck0m3r52a7r9CVysXPDzZm/T6WBkiQk9coWwTsgmoCwwNC
mA6fpVb8MMLSswWzZrrE8myRLvF3j3aVBwRDcAGYfUesNKrPtZXWxY1ix2Mdu9tuTllE7fhXyENP
AWFKaYzJtGzR+0slJBYySTdT6+ZnNRpwgUQA7jqKxAepf9KU4V0xafvnbVifANZXJ1SlKZGHFHpy
UQnQji4PQWY6etUD3a8X4P+rr1hbo7e2rZYywt5AdruRBMy4iYhBbjHUruucrWzeViYW923z5854
EG8UCH90FjmDtpvNNPyzu201syBBwVBh23EibTfpajI3CumAaAh14dZuFMKbWsSlqzd65QrV6mWf
c5Zketi2KFCpGjT9rWwNUADXg1VZb34Ov5/76gwFpTGoGdJW8SSUZebDkGqRG9Ci1rZkwZ/9bauW
YSTZJArOe1PJXMEYpmNaGesvTD4MOocIrfG2HwFtPCKC5VcZ5TX7xehUrw3WhqNYLKxnRwFvx6JO
x+9NjO8WkTmHCIl0MBLDEDZEJoSVqNshcCE6pdYxLSX4GOtNDWaVgIWj3icm8R8t5FYFqGRsFmDi
tkXltMCvpFREOGk0ebAeUJcjyx3ivTTftclufqD5rkSH9mF6ozcBiNOkmlU4RK/sha8y8kOyNHNQ
UzaHYvo7xqN3Gw9+Fb4gXqzogYn7uX/xfilUXMHOtHs5csXIGybZ8Ywh9vDdk/oDOntfmE68XIfi
rTR7tfq7D96HfH1rbGeK5VDzyya3exojtwFhEb3nyrmnw50dzenUm9QPKCe5Ccrh8iWinbB8yrKX
EKdSRcd43GngrKkxCRAZ7DF1BnPYjeqjrmITOijKaQifjU99LV0/apZX9iCT9k1yVepPkeLX2TmI
PBOJ2XxS03MRXTXioRL3sK/azisH5M8+gvClh6ij+C1fpyzQQFiN9HvgkFLt9BYUFAeEhvA1Va1t
yOCY+5dmcqWF2s85qG5QtObFLhKBhZ9nZFCZP/bPuUA/Kbytut/64GPuPCGuJgPbHHx45FDrjckt
skMkaI5p7pEOdGiZUoqPNvXKQLwOh6Nu7lsAG+ZeeR/DhRawL/aUUw9yes7Bd9VOKV5HltMOlFC8
TLnEyhP6jfx2Dv1ZZo7qi6XdfcmZI740T6ZwnMS98pXoMJJ8SgxXOZrdbB9onh55JNyXlp8tzvCU
EKrijTcrm+mxu4pdxSTBw0nB/UIt6A6zfpgUv4oO9JS05rMz8J+dyKE3187/vgx2+sJC/yNZmFIz
TPZ2u5xF664U3FL3zcaPFtg2t2l/SuLjsHBegGfOYIKkX2X4pLZXIcfRqbLW75tOg0i8N/82MMdf
QNMwPzGGCRymU3REMxAqns4POPhLddJgLJKP8Zvkmmhya9k1u6P0VTZ3RExVFHfF9Qvje6J5jAvt
yNEpG+j7DkTe5yiOKdEPNm/WUdM+gQqLJwKCdnNHsxnRsFMQzNV7heVAFjbMk9jtpckVz9W9JhAZ
cIGmv4h7NXJRYgPqaNyJVK7ylC3e2DB1OBtIndvGJVIc34EKmX62velteqSbk+wlC13QXScfsOna
w3DWut2c7CaffyYhM7aWUXY5QGjU0dF8Jm8IQfVhssfWB0w2yvdjfjb0nXih0KkKr2JB6e0mfkFc
CWNJJydGZwbu5K+WQn35HIR+Lt1WRN6I8T21RntRqcaIt00CoYT2Q+RK6k7tbXADWe6OI0t4d4B8
INnElLGNKRFcWd/jGD8nzUeXg/OhjS1devOGFkKT7HO8rTAxfxPeaD2anaN5yjV+F7gmBtdmC+vq
EbhGRXXwleBZ3fATyHoF2l+fZVH5IiArZ+AER0bXoHZ5l1bwofETkMp3fs3BbFxZ18op94s94SfC
yoTG6WwTTmS3fGGKg5uEvyQWAIiB+H1k4URPrTr1L5ryUqPuyrxu39/LvwPFS5s9f5pBwHagEuN+
3VQ+f1PQ+mZ+loHwK7blhI/VM4I3NfYV65TBtcV0Dvn6oQicjlIRQ7GEo3Y86+Iu+ujj68Vy+/4g
vCPbpsMm4rJBfXU9UE6WCat24sfiOb9Cd3ijXgSvW+6jeLfA40McrdxE6ApL3IOgQWgiJe5Q+0p2
JU1nQb1qglOII6h6nMtdTTleOFnZ3YBDIXXyO+wh2FQE0aZujXy8u7Wead9Zv8on4wRjF2OK1zwU
4AvVQ3i3nFAe4Dmfni1keLMvFu6YevgDcs5lwU1eROWoLx72D3uw9i1RRhhCELtHbrrYYNFqzr4z
pk9NcPrloi5IAe5GFqXtuyWeO+qxA/pQW4HnrVKutrVkFzaI6xAlPqA2ucwoC0zEmJ0TJ8c+w+2E
i/yBNvE4v9I+JidwsePoOQfmNnQEBd4gi3BEdsSdQvssg4h9j6ovW8UZZ33aD4wsMVpFN67fx+os
CaeWGiVmcC6Fpl3TvpvQzhNiCC7XttDzsk3v+7f5zl95E73E6ol3T08saCKFBgvqLTu66E7tj/fl
mnhH19QrKG33dsE6G22ohzGz+5AMu/SjxqeUfhFrmxLuUXYEO9kZDqc62fVO9VzNrn6bes1BvVPS
3bIDJXeab0FiKW8B7HUHS4rhcaQZHtpL8XfFcPAUXpLYER8MYh89/nJKZZQgnyfLxUqN9i18VG/N
39U+vAqvPpvnnlCL6wRGIuixwJnhQXPEsoNz2cEKd4+kxwn2qFxsQkscyY522v0v+5NQil8YZNwD
3R/5Vrku9vLtzKDABOBRHdczpnhOnkVszDS0n7X7IXAUw85VFylZcMHBxH+j7IqnjuWuHbA2uKmv
lG5wGxjeINOu35mJ36EqCMj8pRthh5MDHpcpVOnSM6SZesg44gCPdU751vrVTexNhGKIfgji0k5K
G3WDEza72YuPqjs4VOVlDTHxbiiuoe4ZTi65H5Zdg8ZMZK9HtPd8UHt3fAtCRzkjaCM8zG6vhV9Q
fEpmRHb7HnIa5MfyTtvnd+JjeEyvEAwgTst1DE/XCKrLx9JP+Kv8+M58FVgZMuI+oyyuS2f5wAgR
At22E4Tl5aF0WGlFJtM2h/tiO3HjO/jWUJ1XB+IzhG2OM+4QH6WLTE70g/zUXhdusRtutfNEqNlt
etIdxeVg3+H+VvnSHO2snNvr4bY5BP6bACHqvJzra4XmjBPuBXatyLvi9M4XTjZ2JwTGF/Lx8Hvt
FiYIc/HAM0pbsFnpnLVd9NodNPqY77NnHoPjW/s+nfPrydVKG6SpW5yRXJ9xoSw7zHBO6iAuci0b
p5mdXAGCs3mKW14hgdvJTnLbHXQkZpf0uroIL/H95PbvSIPs5GLY4lf9NHrVQbMrvF929xo+64ut
uRa6coZ4hgCX2xx9uyvtuGo8M5Jx6PANr91MLPcORyweacbw8Xa5b844TKpDei3sNdc4a5fKNWgX
F751WzhgjV7pDwrEwV/pjbO89o7s4BJzGKFIzgxt/VVQ9uhTuLi80gx0/NBnUnLIThwOT8mlO49f
6bXpD+f6HcMoOQgEOny95Nfx/ewFX9Fr8Tvfi3wTjDHaSTv1Vxb+VVS7D8UDXnLZ2fVv4mN8p5eO
zthit5xUsX0RP8FaI9JARvy49gbti/XRv3Uyv2x6qu/A/7yrj83rfM1AyACpvjevyS/VGa+T0J0e
0lN6kh91Z7it79TH1BMdvlRfvuLWgUXLB3xUeCP9bAdZEMeXrZ2Nve5AvXtZD7q98Ew7nOENbQUj
XP1GT7S/otnGncji7qR9ccMl8Vh/cqyWj6hMD1Cjd+0jrHvGmO65TL3yiqtT+rkd991zcoOqnv9P
nEXudMr5vRIk1XanH5XAiYGtiuCQHM7n+JM2c/fMY5xMMW1F6bQmy/LVqLg67JyvScAjY08fy0fy
IAQONI5gtDF2SiJNRF+DhI8z51H4EK8Yl3VH200HjCycLbf6MdxPh4kfZL6efjevmLlaXGwc78Vl
ZEr+C/nI7JRPws2C6y3cl1yREmmP+118GpWX1BcP+DgOk8e1GA8F1pajcIVWpYw94z7/nJnatQj1
f6egFkI7R9lqkTrybBo2kLnobr4XfeNmOffzXXrVnJhSaFPKuSK+lo7lDfvg9jO+G/mqYeyhXlrc
kanyMbmJ75bnaRsAt1ECGxaDSk2P/7H8RN6zkhts7aPnhYSTo7Jl/OAy+DFe6QwET92hcKcDngXz
vbv5L/bOo7ltZe3W/+WOL041cmNwJ8wUqUAFS/YEZXtbCI2cgV//PYD2ObK1U507/spVNEkxA2h0
v+9azyqvvG/QbtGf4rhUa/mVa9Xn8MU+d7cOKiC4AucgXtf3XbNuqzXbvXtwn8VTdUsfXgHZvMzz
gy/6t/ILHzEuQPtsSmRk5+mZE2L3bWIz4mHM5sGYgY0pQn9dMywR9LPC9jVejdtv3YEZHnS/e/MG
HT2hRsyj10TK3zKWcpr8MqXX/bivn5Jbhrzktr/md1UHIDRb7dQGK/3WuAo5QpkCrfUv4pigYDp7
W0mS4cqizb5G6bFBRMdw4+yxeu3FTX4A0W8/Bs/VrtiM1KuAqXPwBodv4abY2nvYfP5huDhndKmc
8GK8V6uh3OoMkmJNWMgqfS4543xzf5s+N/3a/k3/bN9Kzt3xzrvJnosTSvdTWK+9ewNzkLtt4y2n
NOOO6SB1GHbap+FgMjxXx35dbbST/gAMdM8MlVfe38mNTe7yqv8h528fXHWnfA8g6EfHOHGAhL8u
1/oh3sUP0UVd7FO26+93WFz0Z4NdgERZCJ9PZO3UF45Z/xO1RTag9cOMMA1vxafx6/i1uKse1X16
05zhJN64373b8NF90G+rZD0dUXDv0xt5Edt4E3/+Fm+0++HUcTibh/kfkZMhybPV2vlkfE3uNHsb
F6s+OZT1qunW2otIDnhMFVMooiNWLzK85kwjPtX+WTY75sVXzhXSu71HeffIeuECLfiGaSZ7rfHk
6atkxzid98fhMbiyjt60yeIdIpDJ/SHGCKb2RTkjW3FqNu5j8whrIrhy2I8Q1z/m994zH+JbsGeC
j9pntyDg8CYy4zVck7UR66Ol7PYBy/h2H+Gf4A5w7c+0oHdU3UKuW+57q0aRuAZCLr6wCqEItQAH
l4ulEvV+c7kWzKhJozet9VKFWj6PFMlVGwKy6V39QfXTcAyDHrdnXxxB/q/1pobN3DMX7KJTrX3p
KObMnXVaKtuyM6IDlEkCjDiqZ3NSpPUH3cWjJkRwi7wjxJWII2i5YOniCJTsi1ts8YQs1+oaz9Fk
9puFPffGGlywgxSA/k0gVI2IOAvgonMS4gWz0FkZkaSCKZ8CXKLbKTCpkGTZfT6VmN4ykwXvFNNP
Gs3yrrKoDS5mhffg0DDU600zqm9641B9IRchnnUgxYCAPx+GeVJOXp8i+6RwmAbN/jaqWnQERIxa
w1YRikm4Lfthym8MQkW3TqndUqg9VFhhGTj5TGaAWNHOn4fOddetGtO17c1NEHdujyxX28GhpBHN
1IKlpLsUepe67nLNXZp1fVmeUj9I94tlZrlYfFyLeeb9vkJro0MVBrsAdjMllVmdvAiTF4nycnO5
EAWFq65nBbbUQZeLQtNKY7tcRex3aVo4PUtd9q1Wa0wGBDoCh5Heho52gDZXrIQLI2KYK8Pjf65h
Cszf7lv+8OHm8rjlaUoraKOk2fhFlyjBnPqHEvUPQcoovVUGANVyqArOM42en/TGMIhevUmaYiau
UqS8GrHiX5W6OYA6mG5S/9jju9gYrclIZFEVL+YuzjBz9JZrSLJPU0ZUfDwNd7lwAE74JVVGcoUx
QumoT9qy0ned5pRXk0F3v6Sqjp/Z+eQasj2+3Vr+gOcAzztq4NVPdy7Pe7u9XO2GrZe5xcmcqLna
DPhGRRG5CSrqx7Vth/TGluvL3ctFRq/yKpkv3m++/7WEHjeUXbJfHvZ+/9urmG2Fku/9T06fXWTr
omMvXcTUItKxHgn7OvLogq6MelRUGbqVP1gOP+8MBZ0Z1ZrVGVtPHz7niV3tc886vv9tuRbMLDc5
TXyH5QmmU9Ziu/xpuSgNjY0GRAp7cNHB2plfdXkS1esGWMjS/5vfb3ATHvn2Uu/3vt1enrA8dXnR
2J2p18vV99d7e+Ry5/vT35/z9vIfHz7gOUQS1z18eMryhr0Lnr+vqGm/v8z74z5+sp9u/+kne3/r
0lbJ3vBiOs/z77a85E+f/qdv93Z1eab//hv/9E5vV5cHvH1BD7L32kmo2r5/5r/8TZZ3dolJ+H3j
/fTO79/zw5dZXvYPn+D9LaYvU2M90ab7XM9NjYUqs6DylosP9324+WcPofxPXevDy+hL0+r94cu1
98csL5sv4NT3x7z/+c/u+/g2y0t8eNm3xxDod9/Qb9st7D+59GKDeMz3JTbhBR/Zzufb5a8fbiJN
psOJufF3+OQbcnJ5+E/0yZxakyFtPBDzD/jhJZaby8X7y7w9ZH7w26f5y+d9+GB/+TLL497faXm9
9/uGuQu2CGr+V3v0T9ojWxgE3P219ujTjyolKfIX+dHbc36XH7n6vyzXNJH1zHoizzYREv0uP3LN
f1mmBRrLsXRnZlzxTv+WH9nIj7hbklCKwnymcL0n17jkSIO9sm1QMjaapf9CfTRLi36KrUH5ZOuQ
tPiAlumSlYM26ufMRqkTthjl0j4Ejveds88Kk+Wk9wOa7/J3/dpfJj/PcTs/v5klHWAOfCvwXR5a
p48JXH7blQbEBv8wVrpiKt5SZu4GTJWlGW3LaV2J37ArHMnEJQzn2svkS6kNxyRFWx91eNJdVnEJ
cOOqr/tN3/QbNYzBxlJEa8gseookJvAEHIXjmGQz23gnjLKH51lTi1NyPQwuK0c7OueBPPS1MLZa
N1J416q7n/aAu7ef7+eQcfcPUWN8UdsRBGGypVw276+/asjwPphMXg5jQEW7kVQCYol1IbJpqQDp
15NkbUfGd0skr7iFSEir7kSUpevGx0wQFWQ/+ukBY+JraqXnJOn6jVSQjZwKm1pmpLg9IwidKAqM
HFdHlerPqg2ZhFDhhYNuSJMmpFXjF7SMLe1X4FcKr0mB7Z7MjVmnoBm42zw3/vSTFThE34Ex0wQP
i7o/qXRK6K7HJ7X42E0nE5CRQKw8hX3ZDZqXsXRQZAXlIZT6UxaNgux4oC3Siw+xrNGgkkfOU6JX
PR7JBOrvSDaS2J9MQohX+jj9KJPyTong1VEGNUIVPRQtcod+IHM6r+VmtNTnvMyDFa7Qr0yGZzhL
0m/+YVvNsW8/HQHLTukiu9PnYDiO0Pnv37/eR1lQ/7//o/9fAfPBTBt4RmGIHUsv/cfYVF88+DBd
NohVpohYq7KW1EYrtmlzYKTPqx4kp32oNeq2ftvsdfgtgTLl2lWhOFSoxf3eMDZG1IOCzJytXcqX
oXYSsrQR5ws4TXEY0y51gn1V0ASvkibYyfGiP3cigZoYkPga0/EoIosShku8ZJyz35edtq363ttO
lvctCWnVm1X5koTZ2cpzif2A4qWM2hl/fkqN4lPbZ3dpzo7nsixSY3fG7fCltrM7vyb60r7Ku/5I
EvTG0JOb2NduW6M5E5icoDQxRU2DsYNjzAMGEGPRK0BOmyxG7yJ06DH+SEhDGMe3njduXAuGT61e
JZ03NtR96rHH/MN2+pPNJF3H09FxkjNsfAj/rC2zJfex9w4RS1ua/XSPZWCPO52mYGM8NJZ6+fs3
XBK7Pu4YaEZNm6Awaf8BC2h3ep0WOu9oDlh0HedukjB/yL3FPZK1z8Dmb0xNzWTL9kWN7MFRzhbG
izhnI8hjFQWvmMKCMjh07ee//2x/ts96+ArYW6DpeSbnjZ/3WUOvswwKi4fw5ezVaCPckI/Gmaxe
pTb01TanPZxRAvqv3xZIIhRHV1K+QK/669vSFjRk0mvyAJjhdbDloygYD2Qev9Zl62+DQe1VLR//
/k118SFabT5CbYO7XYgwqHc/nqPiQDe8ngP3IBC2raPgNuiHisoRJZ9CdGu30Ommdwol1ZNfu48q
tljlDWhccle86rpHGs7UIT31GP1Dwknj/FTGDDK+wLoc8TIkn+1HTCyrLB6pEwg3WRcJGtXESe/I
zI5A4ETPpDNeMpJtKaYw/kIT3IBOoI6iGvQiVDUSuC9xQRRrJe5wQgHpc2qEKkl69BxOAIF5ykTu
rPIvYPSQjGYBnfxwKDFy+qsyB+vjyOp7I55UofoNatRbzy+x7/hIBabS/dJgpCFOjTFYIc5QTGUZ
FhVFWIltrrVPwAJYJkfUzYp02EpFpQqcocPCYZwHnmSYzlbAyQAnNngMNltR7rQ5lDIaHBufxfho
dvlTq8+P5dQKlGO8dxvOOaVGAGwbeY9WwIHne/y4dmm+ODQHFCZSvLhgACh1ZBuoA0KG6gB3b5W3
WP8HsBbgFNL1P+wRxiy+/nXQlnPUHjui4UpIoPaHtD3f8JOWsIjhEHjGTLvaxVl3ywR42mt+DbLD
u+DwH8GrF9em6aPSatxrwObwaYFXjAM2gm6bdOg5IH5UK1+Kgy4plCVp3IIp5kTEXGVt4xHsW2rR
mmiDc27oT22MqIsosXKdwPipnU3TxtkmtDqYeiXtTc3+HrkzjAHI5lintMlkD9Ykobeeu3Dvdfqt
JpVnlQfhLkzH1yZziLKPxIZww2/YqqqQ2nneo8ObY87yutkbYKmu88n6TWm09n1/fBwKX0PxY29z
dqdaEWk7PZgiPCd2di9LynnOUJEQlCtaXLrxQtpmvzMsd2encHuT1sNFGWsbm7IkNimmWIGeAlPR
saBiX9ayrN2FnUa4jg3LMRzRF5hP9ZR/9vOWnmZtP1dEOK3IxH6IUYaiM8Xf69OK9zHNJFTynVq7
Kaf2CNMt2nSNe+F9sZO73iFoq2OTSnh0Yf9gxsXBQJZF7FFEI66/rsa43Uh+ITfhp6K30CcEJ5bd
fVbar4jV8z21HZIBq3alF97cpeNz+3F4CZlYoyFvKEcR96W8uCBOlpCsgdTewTc4O03Dht9q9oor
lFk42awIc5ZvIpYKmHwhUxqGlD2Z55JcMX5laiZxlWIqbsZknp3qO0v38d7HoE/1UG4kFhQi/7pb
KJ7RrpuQqam42pSxmR8HzIHsDewSoOspRuNy3PWxyRTQTOlzKErcgTJOVWaj7ZpPziaKCJmEDclO
BboFPX0ZaTTBCw8/TUHyEMOxiTA7x05orEs1BquY3EAU9QfM1xtKmbvetfehxc4wYnETLqoMAgTR
T1JIF/gwfZnTdxy9ixc41Cu17iGoidwt9Oop5XBddbp5CXtXw1OoTnptTF+z9spRvAynEmeP3uST
Xdo3jihhP+ohqDwYZlD8oQAMJaMgDIy9CPu1tEfatYhG1ABvDYRAnwtzlSfF02CUxKp5Sb31BpRZ
aUvCTGpUBwuAzCoEgYWNCaA3vQB4lxFzeVpn/RiG625yb/OoOE2heTt27ZZy59c0Hy5MWmnSK3dF
qsGsIqR5p/vdZ2Dx94Fg+6eVECe7Gq5I8joaHTNUm9lKTijTLmu1B9NnZJ4yhlgryGC+h+skji6x
zDieZH9fax25nS1WDKDZ56mao690jupGjw+jgtRNh/CzyWGDoCVFj4OATetjqKYxQ3S6x7D5uTKR
Y9QRymgnHekp+gVk1MT86jVXftj+VjLaHKue4xiC+762/ZukLB8yaR8vu94Lr9F7GiupZdfkueyc
GLmfG35SafcDShhxiQJirl7c1OgRnfJzU7aPXm18UdaVgjFfjgbQRg+unxrdeNVUGdh1t39OgNK1
jc+ku9nbiq77QHFvymAJxR1dqxGATxGmT1XSzZGb3lcl6djZanhIvImGIyVJx0wdNBFdB4vL22Wa
NG6bKpk2I6ixbaCQp6tB36PGhzrlIE5MknOX+Y8439f9QLm3qwNAU0byOc74dULrUyEQhKUV3lcA
FGLN1PbZMzibaLFQl0LzMjq6sxBGp9MMZWKXszrA6nnQBuI5Sb7yWTeCFRlpxRg0xRKr4fVF/yR7
BDkkgN+XKAZii4O5yA30F1bz5HrZRWuKW2U2CFwgutJqoCEAHqisEdbVk/vksr45TllqrYohYoyc
6mKVpr7a15SUZRMmW1jS2coL469+9FjV4OL6kUEzNC8Z8IEZ0oIca98MqDX1EM1ByUgaV/SqvMZh
UPDh3hIRjVGXMmxX5hvbtRCitDjZI4lyuO+fCm+0yTogdwnc71WrH6M+53SLPisa2FZkrn7Toi8c
5fUWl2S8AZT+qa29y6Bzrg489VQX1d4adDY/3ZzVRcAYPjo1Crg5i9UMxxywWEmyZtfuRCrOAvTD
mnnkSrPaGiuK+VJ41mdprYwibZngcd6MOrSGTnZVmMF309h0SfA9tUw69qWWrJlNPTUFFIgGOgTy
/v7K8OtnoXnf/TQ6OEXPMsLXPimHFFrwmBvW+l25BYB7gJz60lXjY8rwghxM3sYurcbGTSBNehui
XNmpaHJ57msc0+qxZcUH7fLn3oO/4Tr6ts/Cm9wMX/zgpTZOSQZcXigo8LHp7fViQDFA7uHy3B66
6gaN+a6evO04JPbK9Jga9LpNGou9nko1rN2gfw6d3qAEKONVB5l3Xbmoa6sWLnOb7KK+Cw+QH5LN
wN8zwZjbgMvsHJzsiaKBNurPOZTbTSnsrVECIhUWcDHGOGoRgBgiKU9D5b0O85tNMudQg3wXFniY
yyJYkWT/FBos18x4Tcfrc6PlglPnCx5u+0WrLnEk7okJqbYadoiVoU2zyJMhPqvS9LPKtb3OObcf
4xg1pQQ+XaBW1Tz9RxjTdmnHr1nj3PU91GKXKsJRK4aXxg3ODUy+LuvAR2khMi/taRx16ziIZosb
t4PzPQMLLdTcnAaSDWaNO1WcjCY7WjMFTmPlSoSU79i0w+cwGhaAv+N17AmNkZUDQGvwEDBdnRDm
ovyWc0utnTTqOgPSXPx5JUm79PyGntDP5dr7ReAgOE5jpGsgGqGOz3itTiIbxuYBIZKmkTknnzkz
d7Ghp7d4EMKF0JVGMWJMzJzLq8mGFKYWhGhpo66isxTIFBFA0tws4CEFwK+SEB8XYhhAas4cvYGy
xAXVoGJ0yKZxXdhgfzNzk/UGSrfGuI4JzmTQf2IX57RrKZMWETrNFqWpYyPTKjX8LsJoThNC8LLW
FYgz9QN3+V0/pZAnZPbD1pNrN7wUEWuPaQzufH+4ZpoEws8N7/q8fspqGAVE8eKD/VH1BCSD4dal
8VW2zhcLgSLLzw4pTZvmP4wkuDPQeuoGcYe5iwk/JqaYWcZ11zqc19sn0PM/mEOdunKepiADjsXE
qY9imBRAPEfkTABtGEwb3mWCT7otvPQL677xamEN9WabbTtaEhDXIKGvbJvD1cisY6clHUio/eKb
WNrTDpmuW7vNPy0OkKajxajY0Kq2T0HKIapF8ArrUfpXy0XWwzIEmXPDvNvfLRyoqWUYS3p7T5GG
hEmhvGkdzamAZZU/xqr5XjfMVZatu1xb9pVoAksVjT7zbBJCcNbPboulL79ck3N+pl6CawtnQXrl
PTpGhU4inb7B6tNBoIbHqBKfg5jqT99ln3zp77O5oCEQfhPZ8siCifBOmNZeZp+NJniCohbtR8cD
5CbsQzRwdssEEjK9pb0+Ut8Jmp6Fa9e0cKvUMU6ZxEU5asKSqdvaMlFui8ze2sb0mzWSwzHXMJsY
ZitIUi+otbXMkeEUkb1DpP7Cqo3pkdDE1plAvOTMB+2dybi57R2WJ0Q9rqomfu0sCnK2rf0Yuthb
VRVfoMEuYBeDvoIyzOSGKeaVy/Kycv25PYuNvXRe1Xxan0t/yyLRL5CGOkW+stCK0/HVV8uSe6Ix
udIjZwTu2hwLI5WbYX67yDefdFwVnozYPyjhLWUuLfUeS5F8AbbPvFaB7hBJ/L321as1TFuAOUdn
4PvF1U0oNHJpgmQgNg3vRtSI+9jABuL3PMgdb7UOpARpv+Ye9z/cCsbDLUYRraBXigBgAvFWrLsG
eZPuoAF2jDu/6SJOz0zhAI9AoPAf7GrOtwbNVpkKhXX7NXVQk0aIIxJK5GcjOhObJzepj6QYQPY6
hF50cKmnNl/rfE4+YY8ZptDZlHMd05mMbRruOp3qQdWkKH7sYWNV6EsCIQEjz5tSgtcBZS2S42Bz
jLdzWRH8IPryfrg0bvWb71ARyPrxVOgB8/WOQoUT18++LOCvUeEgq+uTTiQNmimfGgb0vwqy3SZp
OGvjzNnmJpMmau7ZJq1cg2QePpSjNWDIj3l9anUO7mXzhIw0URiRY+fHX8jlK8iIyT4ZglNZTGWw
t/Pb2ENapUiC2mh+fz9ZAxrzqeDwUOaNZqLksSmcRCWzaenJew2OzGrACLVu+FXcmCpG4kSfoza6
aD613mWvU0O4TXUxd66ZnfSDQA4rXqeJ+QNSqaUQoip2nsmEZO9TcaT/IAAiy8cktgDiz39j1Vay
Qx0lkPV5A5Ahw5J6rsS4qX2pKut7UlAb8vwCwZr4EWniJrMewg4e4xh6u+UnjYCTbqE+zIVKmPjM
c7II+SOvlquvzG1zJj5deHbTuY6rTaQo1QIRVdds+0Y9pMNwE+dU57uctVwaWXLVCqJpkmkiLDcF
5VSoQ0axYWVzothO7PBE2rBdl+J2RjGOynaPMxfBtKLCozlpts1VayCRheJboqA2BgrDeWHhiGqS
hqITytkgtY9t089Rs/GXwKIKo2vnTqcoUcUoD6AG+rJUO0ienI5D91T2erjNtBzQVSdBDUYA1K2s
OXj+Q0jHdB/6EwdtRLGmgltJyIINPnOX9KwUJg8pHyzGSrOBaKWvrAqQu2U+Agj1rQ9Ud1QthpRE
Tq+peGrmHdgOKaxpngLdBbWr8lkezyxuRd1Mr8SlL9x9alKdEzFlpcnGJcKqsp53POoXELfUaenJ
gAN7pbzCZu7lIzkbN8mE5RD6+ZYJVJ2kzdYtWqY7SEaXfWyysn4zxCaEzBLeS1cZW9GWl7pGGQGr
8FVMjLRtdQ18E7lmlCJqGG2qYbpxMgwLRuleF2m5N4zIWw8g01NRU1fTcGWpDhl0yKbzwOH4vn89
V3F9dW7K8Z7YkWeRclAPDv6VxCvWcPLmOhqz4KCTR8cnlW3keOYb1j/KQuEkiMKTrZNgUdDjO8QW
BVIv7g8aY8o6DCed+gOttjTo6hWgc3/bR/fKGb5WIFo5xW58azyy4D97fZ6tBBVDtDvMEgeWObUF
Nt5otNvAO6R5dMzLQyWMkpThnbLIzSqK/Ein4Dmymouo+0M+x74YMRpMGaH7ZtkBrQdTASdncOIE
ihN63zufKx3iLuz8J2dyD3rqfu2k9h0RTESyoGatDWZwpXl0dKaFURxRirLNdcX6pjDi5yKBqBqN
wxfX7rGlderYmclZpTrrmgxHspegzeuc+sb3jAM4zMdyjjCYohtRJjfmGF3aHABUkkbnycP55SfV
watEcCpz55veJi9NwGIxksnW6wQIOhi7ysUP4guMrnpkvxB9GAA/KG80zyr3lGzjUzrh09OIoLCa
Fjesp/LTMDJNcZpLZFHPXEXtYZxAyhq2+cOfjBIdkw9WnjozNiAzn66Wi0CULUF2/7ldeZQ1S/gg
Wp3LU1XOAV1acD+HL+LrhZfuWowh3aCNp3qyV4wl5cZkXFoNk4BNG5K2BcCzElfLbS/0b3UTPrFq
ZUp10czOPg3ZqZcZvTp3KygWrMLIgFbdi70DMBSjjqlfNUrNtOn5amEHxtVybblQSqNjyrl7mzSj
cbVc+C1BtmUNoqgJlfl23/KHKYzO1PyHbRBTJ6xyuYsD8yFozeiM3LMkm4MjT+WowymLAK2jP0nJ
lKVxfWw5Hdkn4fFGOWdtVNYxluH/XNheAefNAqcX5mV20gBRLoXg/xUl/KMoQc4V8b8WJTx/rUMa
mE2e/apLWJ72byyK7vzLm9vUrJG8OZiLGvq/sSiG9S9ErCYMQQPhwb8lCWBUhGFJl7WFo3NJV+rf
mgT7XzSBdVIDdQMVwQxL+S80CfqvogSGfjoiM3IFXgsgP9360JKdkIK2Wt06FyWA7WSVGo91Exyb
QPQwxTlvpjSWifXCheHBpnT6nN4K/exFx4rdu9x5lUfCYCuutUS9/vRL/klz3/iV1rJ8Og/9Ba1u
MlP4gT403wJ7sBI3bKyLg1mnnHLrOvEohDdSs49Rol9yy7+3dcqxWU5Fe8ypj1Co0IllrTFkpjIi
+5P5kz/Rw5J2fPYnKlBidMOVCfT+tvUjUFyIcid6eGbuf/uHj/9r7/D3j28KEJzScR22/69NvCpo
VF/lunXhfF98rqY8plwf46lxCyD3k0UkDHDAu5Cmj9l/HgPR3DWcOFNSJ0F6WhFRU8lV2cjsxiUG
TWq0E2SjP3lFdYxyTW7I3Ex3kVFWx66r7w3XgP4c6JRAYSeahXDPNC4v//Cd5p/8vVU7fyeXzrku
mHN67IMfv5NhRkHmxYl5YUfPIFcj9EV/FuxEHxxbI8MjSpPgrNg/doXCwuznpXZl6+F4Hiy/35NN
+CSHsTwx99t5canfWPLRiCLK5rGy7p2kwniaEVHoBc2bruovNTFLuNwfPjrHjsURxVH1sZVLvJXf
BoVnXPSCk4+jxfejvu/TcoZ2Un10gy48ZaixV9E4L+KT4UsBu1tiNLe17hBHOHKBSCBnDqZhZzKj
w3XeR3sKKeuSr3DSYuNa64KIlmVN/FOVhbdSM7eEbIhTaJGF5Lr1uI4j5c20q2THvkH50gqnWcGO
x1Cvh22TGt62jCZMN30I+8LJo73WF/nBNW/tgBJVYuXBgRgEqhhwHku/YbJF3elYjsENwC2PVQcX
irpT56R72wnbdaXE9Qj49mhHqMv1FGGMjxOtD/LxCyu8ZiX76LnTcnKFNSvZMlSQPy98+JSxTqqb
aLrb5VqvsKfFoEGFqdX3pmHkzCf8Y05LV5bGxut7Z9U7M2LYqtYVdF3oRmRsjvA8j0MtKsAjxW+j
M3hH5sovRoaAfhqkRVepONhpXR3+P3ZVx3RtxF5Ap/7QQ5e9NNvBDY0LeZznzm2pQElyj3zwh4t2
R7rGDSp/eczH+imMbJy/qQQAGxDmORkgY0NCrFrsW7qqJpaq+qXXNoGiyGB647SZKu+arCvv+R8+
9q89+LcjDPGah0KHIZn/fx01HA1Y3WBX+mXCSsvAHd4HyrklhI1ljZPKXZkZMRt+VmK5Mru2qANG
mnqova/CE8bJEdGrJJb60EvLPNYYrzUrRGhfZrQPQqonf/9x9T8ZEEwdkYILvYth4eMY3Xlepiix
6peU5dGdGGfz8LxKSc4hrmUoBlm5iTOJ+cE661OmznoQP0VKNse//yAfJG/L72ZCyqRGLPg09sds
SX90G05NbKU26yji6da5ws0UO+c8mpvPWvsp7ajcsliNJnUdGIMHOMkwbpefElzJLhr75KYiHWAz
jUzNqRTFxrEoM2p1NfDmKNbObBwmiFl26IbUPRpRd99RAb8h8u2q93UPLRnZV5VbirOmZeOVFicv
MXFW/9CVXxQ4H0Yy0xQWUwrdtc0/jGQsrHLYhr641EP03Wr7+NRTViTKzHQ3SWzfj6y7nVxesCyA
Y0TX8CV2zGt97JytEZnTroibdj/KqTqGLgu1JqVkMGnDfqIuvSk1mAp/v22cP57IXRIR53MG/1zb
+KDS04tYENHSGZeqbuTGSKGJMEjvJ7f9XrCOwxRiQZ5OIsq5rrK3rSvyEwBS61jTAGmVfaezhNta
+fCdaEB51kOlaKvnX9DQYP4WbBTQ1eoI0vC2n2hXGE5nHqX17DToD0VoEjeVh8QR8g6HtjavQs+x
Nik47l0lTNxxupueieJOzxRmTS/IT64x3CthyHNDwXcrY9gh2uCS7dPtMurLN6XsjpwVaKIMmJqI
Br7L6sB+1YDwsJbXL1rrXpkxRck81h9A9JpPKaFrmJVz68quCfBYMo0dk6CSsGKJzpcyKuw5f/+7
W/NY8WFHcQ0OCaREtukxoPw6lsRJ4Ldy9PSL5xVgPNypux9hJ8Nxr3C1kT1zr4HKWUfML87jOKFn
68ejA7sYqWZaHVJB7ndbW1dk4OytTLtpWyqotoWWJhZBd4zhMQUyp5oWPLUzyd6U3q4oW/y+1GkB
ajA3zEbrIchwTnYo2Oj3OfC2NdC1xmkyW+Na5oVYlaPfXyO/2E29OhQyTx5IHDPXXkOuTggGYuA8
uOpjt9imKAeORo4y4e9/KZ3J9h9+KRRPEs0Tv5e9KKN+0iZqg9F2jm/pl6HInmHP0xtvwxeVsCPW
pW5tpKONVBGrEuhBmp7ssVmFZDSvlDUUJ9L7EB0U43VmuuM/qCYXVeTP29ARdCUlCwdkywIZ8odt
mBIyTZN2rKnxmPkp7lV9h9SYrqh68ksNmKCrnQeNNim1WZzUTpJBuGUtLB2Q68vuW5iqO9hjBV7B
0MzrSiLki9pOnEffu54M/LGB7yR7yyi0ndUoQqDqSW2aNhy3mYmWxBL3vfncO5wXtX7SV1MBZEe5
zVctS4BLzVj1CTZ0YtNotGDkDkmxH0sCccKyQC9WY8Cu553fBGEhiKpap8QJDHTnV03khTvdpYaW
oVBYh4FX7ExiGTa9bbKO18cbpb7GamzPcFaKhKGZuUfOXN2gR69jR5LYx7oCsQHpENWadK1gXQco
UuAJ4+uNiEdxsyj5p/EXwdqH3YXlkuCAMhnVEPQ4BCP/IgucSEFBHzAGF031+U2q4fWztATTG0jb
da6dbbv8LfIHOCTTKI8NVBvPzMLHZtJwj2J5WYfuNzlUdGBGUPYrw52mDY0Xpo26IE2xojfUN2MD
4whtcex8S+qAtQ0tETLMe6ywdbRrqUrcCf1z05T6vfKHp6ZzxHWb38WeuhWdFsCzb8Q+jKvvUYs5
dDWIOV/UDu/7znAe0oboBbo2KyM2um1mbUnSHMAzMP8FLo6nfeQrdRbBRHkcrIkJERvOOPEJjybe
9OTejebkgJBZUkesBfK2dSzBEBYhcDiH7IS9qGZm9GAZpAYSm2s6aji/XTNIBk6tK9cfzG0Q+f5Z
j+qtUEQl2NSNwbOXK1Or3L2bkMAQYIeubUH2jhx0pL/GvTf1/mWcQ9zPmdPP4UPxs44/CeIDzikq
RttJQW6pJpg0KfEqe9TWFJH+h67zanIU6LLtLyICb17lvVS2q/uFqHZ4SEhc8utnQc+dmvjizotC
UqmcBOTJc/Ze20vuEZraVZ2Kfu+l0kMNgmomkikmxyFkM9ZhlM6ckXzBCrMyY2fjVucfKOiNY1dC
rZikHm3d0WTuqqlLIIxi28itDKgHiLwYn5giRAxAu/SmUGquxjBwoW8VvyaMjYeyifk/Hfs22t1F
A1t3z8lhjpq7lcQ1jWpJwIs1gD0i53lVkF6zJcx3XTj9HyhvEGYGeSv6nK6UH0LgQpLhElL0ZA8c
PXy8+V4U3m8j1Ui4jBWReEMNZEPvb2kfWI++TX+ghvssfXh6aZa7T6pUK9YM49j77sNuwo+GkOMH
xMMdQ+Rk0xgcECmgf03I6lBnJB45lfxt56aJ6mqCQtjjAKBbydRDn858bODcfWjXgTIOlmNF61xm
t0Rj6JQK5Et6lotzrtyH4FQ5jCJor1hpmyrcB2V8QTX1B4YdTfRGptj90TuariV3cShpYapE3vIm
2EwFojbf8IuziaSDdgbSwJD1lgwrtZrkUFxDIa9d4tHctv3xyZMEeQoiMvqSf8tNWnX3cxMbtx+L
XZLE5a5yCFP0hgKKvupcsKfswqLp6OlGdhvyv1XOCUboWnAw9PoGKO8aUnJVkRyvygqjTUcC+yYh
oAFFARU4F2SGm5rlnsnc6fZDEwAtyprmHk+RvNs5w4vJMnlbaXqfm1xE2wrjI5JGl0NNH99tvuui
6WR2iEnzvxHYHYdEXglUL6tssvVH3rb6Q01qeKRHp2San7S8SaRzlAykUTEVAYD5LE6iGxjOU1vZ
pDrE7mcXktbieNMhaUf3buTgg0jam2PRgIxF/oSO0LPE1myCXyq213lv/RhDcqb7VJLjMpLbBAsJ
HyOGXwgrUzQnwLV/vDYdb8F84wlocrVPU4i9nXcOY/Q7ZNj8VkUUPaZ2aI+aGT4qPwSaNdmvVSmv
TRNGVwKTjVUXNP3BiJv3os7MFzcyz7GmplsCYoHew6q3TDShHLY/ief+jbDF21cTExmjDciTFcaK
Ygx+jdGMZ+G8xYK9UIYEZF0wPrWDyXsstUyUJnc5askt9JpbFIc4CEQR7qPMI6Q7t6jv+posRJm6
2xjFy4lQkVlp6T26avxRuy3Q8jF+sTN7GwI83PbW9OHECs5u7QUro6shuPVe9TrYd5GC/8lq4851
Kt50Ij1IE/iIRxANRKp+Y7lMAFrX5dv6sTmg/vwTt4Z17JrwYVWogmTQ2cx1zTctnsbt6DNzVomD
VAnX8BzM9D932b3zeI9iBOooSZunhcS7MHmXh+ZCwVzu+imkAJ95gj1bq53Sn/TtNHKt/vdYR1Ed
JtJfk/9aneo5hnC5ITL+ikSMRLhZatLNUpOvG0LlIIM5x3+g85Gr7NbzoWfNGVK2RV3keiHwH8dT
sOq58aJJnULhIT8z+0NNUuqCEI+Hvmc4VBzTSCMpXPWf/56mUc7gJtuLWXTQzDfF7FbvGDDRMcF7
sRDaCzvceGzp0QEwa6BVj5d4uYnnnEFN56bN418uWeg7fEJ0zQMiscyK/LGhzN8iEqcaF92D39Or
Dwhs2RKEBWdW5SxASBY2Vm8kZ6/kZJkaBqpiUi9mzIUaJkhOKXQqu9FBy4lz+QvD/x8PpwHZ8kTc
JUkWcs6cFTAvJKNgbSgpDqAZLzeT14t/95aHwDDtA8E7RJSgf10o56zF4rQ8XO5FgwWkenmcMoli
ZgSgwyvvzWi8pLkdHSHJR7PAV9sPXOw3ZszUEOT9pnMBgGA8fjVs+qB9ROxynyk8UahqNb9lxlJp
W8/4oxN/MQzoLIFzw7zwevQavjus2nqqiaqpQ3QILrK6etA3OfJtf0irWx68tm2T7CIvzLaamX8O
AdmmQ0LQkT17W3pSX2Am7Dx0zKtYIISOiZGQCoO7zAnBZATCG0W/4jQ0+l8t0D6Jg4fa5nF6ElUC
aTA/NumwbVoQMDKzN1E/bD1KnAtCp/LoVPHRr1n7c9uoD0S5lBqKYL/sSLmQczhz1JGa0l/MkRh1
9uoojnPtxXWI2gVvTDszEs6mMLwenB0J06jRUD5xQCxW1WR2si4oX5avYxDBJl2eQpqNtXd+3XJv
ee7rtf++9//88tdPcGKag22PLuw/f2ex2Gq/fo2o9WQfqPH8v372P7ixWeOAN8o5NHVmMH/9cDKp
qi1BOH8aksqBuM3/SsXlCYNcT8A6OrfDv9+yfOXr+5Y/ZXmYRcKk5of1Fykk7Q1xYnk57lJET2dM
jfOgjA2SX7W/0zTca6OFew0bAE6FcDZchAlC5/lmMkkL7lLdWjtpywVfGTtTgakpDb9ejyRvIW5G
9J/i1TzrbuZvsqBnx2GbNMOE+StOE/eY6LGDOaR2ThkxFfBp8JvttDZ+GXyfM3n58nLTsQ86+R6I
HLMGOxeUVkJcz/zdrILOCfXeuUnTab+8bnlquVkeFk4JOw8lr5x/yPK8k5OBudwTORpKZqPB5usb
qOTBobBbXhdC+QcHwWPqa+2xyIiwdBoWT4RW0kQxj8qomJxD+hENiGQKx9/SfgIyEDnohJe7WI7k
tJYLTnd5YrkZXJ3IjnQmnVSCIqyryYpalFbLzRKV9/Vw0WF5jo3L+uvJhVr89fDr+75UW18/ZiSM
aBvIWYI/6IgSO8+kiUCkM+cBY9dprtlfEVwlO3PxoC/g5K8b8nvAfn09Vo5TnP7Ph8sX2tm4/fWS
SMW+AieFS265+Y+fsDxHOYC0Bbz8Ju7odfx7dVEg+/13dyK/PVt9fSeht6iyWXJIJeYqb4aH0E9w
1f+fv2DBznz9Df+/1y3TsK9f8b/+8eUr//EtJLERrWxdAwuiD+3T1v73y8eOVF3CY+a3SYSTbF/0
+W5YZEVxWN4ZkfVlcZh0pFGF5xyWz+zrE10eBuSCgQ0h7GaGfs33l6e/XrrcWz73pOqjiSbL/KK+
NzS1Lr1i2ltpcuh1k7p/mAKxlR0iYjbii86wUaQIbJcjYJzMVH4sEsRguUAxZY+2Buqa1Ygm3ME2
d8wkxVNpjv9900h/Vl/9z+PQIVJek/HsnnGJqpocdhgcXMsPXcg8mNUi+hLhOdeKZOVozS7R/WG9
vKvL59JQ+O7MunoV7OrIQ6aCMecPeGqBDbbb5Q38j7d/ee5/fURiOUz/vetfd8NMcNgkhM34XfTL
0xKmWERHnVU1jWCBfRBVtVc+dWN4HkmmQpzkjM9VlmVQRdlx6f7O16S/w07i7eHFdEhZmGHaGUxN
kDXxVrSt3PcBuvOKUpJMvam5MoK4jrVZf3MemhtaF798Cg0ox4jQj5FODMRUIVrrYuPnZEj7Vlf6
qzP0ydFsb12mN+egsJ9qvzEPNFp+JrtEOupme1m+tbkEs+YxJZJ1s63M2oVbG79OjTZ7gOzXdKjR
Mdf+z4qL1arLU/SFyK+3WsJaPybBD/Qjxq0if2w92lZ41JV2zkNBa8zVfwSx7+56M50OrQ9RK4sm
xMzJqjMLbV1FswFgqndNVw64AMNxVw5s6DVbfSbT+KMkuArLDR0oXWfzxITJpDYI3F0joa9ZmWeS
KVuNR6grvyYGwLuh0IJ9GMnooctt7G1kaaPVjogFdAnUVqX3uwwLtdNlF8AwHtDA68FzXUbJsydJ
wRN9+tYTv7xlOJyDrSWY1VKVv02Lwfk0expmljFFexklx4GT4R5VdKuSmOBIXFFwIfVvjrIdltgw
QB07Rhve9ltJTOU6acpfWglntxcjyq05zLPuHlyQ6rM9oXPNE4y/qdsfcTs+2YFevHZ9ZFEW2T9H
U+nvTX7AH1udK83zdkQDVRufyI8OcTm1S58eQz/aDipjKUzrAOI3PQM+j1+TZ936QDjnJGQdDAHR
MR36W1T0KTMdt48uQYU6NYqRU8Ec6FJ0fvmOwX2tWdiIG/8zjwDYRSbiOKOKSB+u16Idu0vmclHA
yVM/oOFgT5LGPpdGcCHlaeW32kidHU4QMPt7r/BHecaonpO4ORDui5Pd6Z7MdqSFYilmlIWfnaM2
kRxqKRs9FjrN94Duh4Rbpwwx0zIiTDzfdy1UpRTvfm/7l7wX71HvGUcbyVXdh7gAFT1E3UEh2YQZ
3vdeOedx0H50h5wwA7TowSWP8VDoRUyOu/FT0zTyCXvGCUpGChhAG2ADr2GDuw7MSFxjkwn+2kzE
LaCJvQ0rX/4ugii5pYHxzvyGCpYd+s4wBqJJneo21hxYCrW3VTTl2Wi8l1hY5qX4nBg5v7fBT1Oo
Z5WU4ZOR2D+s2h4f0Rji/VbqygivuDleykUs0PtjU6HNVJV8b8bGeTFrkAFmk16kTixjQ48KMbV7
VRopoRjL1SnQ283EcP3V1/LtoKckyRdQiklIeyf9FyJbTRCJr+n7xBovqJGZXyT9UTA3ccmZI9UP
G4Zppvx1vMGIB23tkKvpLRU5RLmRXFgTwKG1gystn9Dlr5vKPWFxz2kVMxU1co8SKYf2Oalx3yS2
vmdoA2YQZwoxMZEOmNMlKTBnflCXKjoHJJeVDlo9k3W1yVpnYyE9OeP8/zb2Zn6xJaElvdlN0DTp
ESoc5hsrtK0zhde4Lkm5OOAEXKNpJBu37NZkQX6ogb+c3T6y6qb90KoBP0efh1fNK/+otvyIhbfj
JeXOMkOObr0T53rsumekBy9mY9JP4OEGga3FtAVMqOf9nP0Kt1L4ty7O5FF5YLLZFd9aQYigwgEo
LDc5ZflUXBi7/jL16hUL2WsbKX8XCe9QOdM1LcRHpTU312nGvR4yaw3G73qbGZsKKc02DZpwM48f
DeuPnh4H8s0+jQ8ypqerFgMYaI7C60iBUD8Sz7KOhNT9GMzOPXRp/9w66V8Hq+MBDvo9cwiNzYt4
07OXfZVMqFdMGppjoZ79pNa3/ei6a9stp5ehp8NolXwAlkt4ArvW3E21N8PUD2StmXlqvsYWGnLG
AReHSIMVkweouRrUVeX3+llF+rGKm13vqG/kYsitiGR7c/oS4VlVB9vAe9EHuyEBsqXRD1N9RP2K
FZgdoNI8uOz0o7DFYpRJhgtCbO3qdBs0geLFlD4tLQsufjcUwBOM7oIRoBpU8+TTruvM4YVSzt0O
TA/GfFAflsywFOcXaaXxC47KxeMFeEw2AtX/EL9pVtg/edCJkylA/jO53VOvfuHZaH5q0gUTXk/J
qs04aOlGlmyjcRt53qjWTR8RMS0y8aRa1jQ/J2O3mwd9nBDNoZue+hYnzPJMaEXN2RrLP1ka5AfX
JtxJgazXx/ICNkY7TJIaypwSIO8hJ4yo0n0i+D122gviI0dCopyB8wJzM63hLH1TONOaqCIewS/S
ext2QBCngolH0HAzlvcRy/8JDhrIbMtaS9c8d5KFwXOF3IhW/Xad9qYqA2uBSj6JnfOOUTlftgt6
0dhSOb8pKim9mmCXtyOte4XooWsPRPUVD89t9xAnKuc4+hqCx75uWXpt7SWHb+3b9t+S2Nt34aSn
TMdpZYd58ixzvOUyiQgOSKdHHGSfs63tKvuSWCnm1Kf2CTqHOru1jaARgQxjF7bytrevVRnR78az
0NIVNd1jX7nDG60VDl+tnYh9tNaVFeGsIR2MWmn4pDmv7/OULbxfD8HVTgPEQ5OJeTMbb83wFInv
/MrpOPAu7JRBBpbbENGux/h9tV4yubcwK9q0TEPembUoPeTTGeWF5jRI9kPSFLPsW5S3IRM9c1rH
gyl3jatozenMdkUYI/8lAneiUv2w7fytH2wqWFqsMALajUoGl3pgfM0cUqiB3Ge7YYjuY0P3E9ew
WKcaDGqUs4fBUtBBE43mCmYc3f1keGfcdFLkeSOtohi+WyRJbl0n+hOh3V9VzJmexhGbat2ijA8e
Y9SDCynzF9KQ602fYKCUBpd/ShiOCjWRBmmlp4C98tB68j4Zjty60fiesGumgzwlr6HbXaMoJCPV
UdN+UgH2CPtgpcHvpB7zvd5zurYIiLapJ29a1pJPoKxtKm1QsfZfqjqcgeZA+K9D2uvYiT8Mc56d
ztR/W1pCIzlwv7F6idn8ujGAZzyJ3HuLp2L6jCOXHGbSdTk+amrGPvNJ2XDRspq1tg88rAyaMwRH
GZ1YQvV3vS5/eoTVBokkCTDBEqNsmPOFGXaXKYqDi3CLu+F61PWoR7ZJDsZRZuw0GmrpC1txrPbe
kybnyiskGCHswGMY/tNUl82hndsl+gR42DREtcvzGh/36G7iyO5oC2Mhi4sBAUQKBTnMUvd7EOXE
osyGq9ytL4PRk3gwRqQ7qHiFn0A/tNAY8M5YD78s/IdTDvvQo4ORD8mZkeCBVjZ9FXv6XgcF/Asu
BpJxzMboaMNViJNXaNvCU91ZzymamTWB0u2h1vAeVW5G9Ae5xutsZGCXU+yTkjmuYR9dECXQL7bx
s6RvwoOE3OotmQWejhAp8B9iDNQpM/XvuOuJajdYUDyGqoSlXigVWv4Cgf3eG3/XjnEf1U4MAHHS
wgvPdRY8UIHeTYNmi1FDlpy8bN0SA4IjzXvUafVdGNk56YS21w0Ty/DkhauU6dte4jBZUValaCLa
HuJp8ZwqrT8GpHlvRs3/S8FjnbUGiEFDZuZxNIajy9p2B951bOqBqgLfDy3c8dOVDGBs8Jxvjp7d
C5yc4xhSNrmSxNMGO3zWkm9dWQ4nvd1ifnVvZYwm289+OEJ5f0oZftrV98TSx2c3JQS3s75XSEvv
XiC+lUGGhtu0i60ppKLeHOCApA6AbKM7V9kAtD5B6heXBsiSmh0wCwtyy764ocU6xfPPLJwWpNDa
rQPjtc/FwdLCgknbRAJP7DD60v3njOtvruCD5FWLJ0ShnUNcWOx1UI97wyYsGbXtX3rjz3Fc8mZV
Hh8fbBFXuMRtRcb3agivlEfyRP7tvkmj6aYnqA2a8dFnFy8qvtf2YDxMKLQro64FBIBquuPNcFfC
asKtr9HHt7pVZbTWPlTtQ7W4qDMnPFX2i1vn9tVoWywVkVFdzbh/ylH+Z5WbXIMQHb1ANbXLDXLk
ApLOPZ9coEWeGWESIfE7zndcX8GomJIhh9MwDcLmUcU9GWhzMZ5p4+1nbzG/6Wbng8cyWsTg1iG8
3PCE/YJhurYZUF96fzjovpyOnVtVa94FmPzJVPKTk81yjCOT3WRRIY5DMvxFhriPDUD7DF+Y9jOs
WY0m4+pkpKbU7XONxbKOQI0jw9EpjqrsBLmUdmNhPMer6D32tQtTmuoWjT80gVDTpwn5QBCdordn
vV9uMsSu17pQ3+C9YFKIzeIyFaQB+DX7sxmzZacokXJSS2JbFQe2N68Sp1ybfcjGRioZgKkPXRGS
qFKzSRvYgyxjp8rsT+kQWtc0rN//uzWQa9YxyrRzxZNjduF1/U4hN50cEVxK9iOrlI3zJmOxOWSB
/5uJ/4GLQXfGT/BUZ5lxjlIXC3Cqzsry+MB1R7vawTDh0AcvZYzaM+FQf9hfy4OmnJ/mWMK31sr4
MMSVsWJPdIZO8MGAzz/6GcnkkNx+VxMIY28qtZ0OcuncdTi7OW8OoocAH0tNzqOVcKObZI+ldre1
Spu+UEUP3m6IkbaHOlvlQVEfaQGbx7rlYSxGGx2B0k9wzTAo2lm1lYSkr1MGH3t2xM2q4ORa07bJ
z2WFywSQy8PNC20zC226htlNSXrwygjIHUKfgPpqK3FFMIiwvjnVbx1rtqeq4dKyG8PnKb5xzMiz
tJ5buhpPWRbcNEGXBld+setifXwoHMZtG4PTt1D3RJFtPzmBdqa/gMUnLa95a+0w/sDK1oGfsyWM
d5PABRuHpF6ZdF5PZqp16z6X1PPIuoAIFy2Wr+Qbbq/sitmRUIsI4j0NLsw1sRfsY6Vna3SYw17z
qDMFqt8zP0zZIaeYqtXBlS5qt8bEWDk3SPJW/iZuPryOInqYUX+PkzB4H1sDiXKpG2fW3RZcO6bU
hN2ijjDwVNoGJWluF4cAoeDWIqZ+azsdXk3AE0Ve1fs2w+KuKVFsNSsFz6JWGBbNZ1ulf6qBGWsk
y3GfhU53CYosODgMytZla/zVpA7NTsKN7pr6PgyD3LhJcpo4Stdj42NQcRmfZ/NwOw5z46YVhwyw
wUUw8mK4gqGP+dB4qrxgeMRTSvDTUWnxcB+k+yaEdnUxIu1sz2g3HfHtiDvUtU0De9UWUQdFL79r
daOv3XlDEkGkI/q0+zZ18c7rM/P3ADqjKAISyuzOfBu4JEJ8SF77pmXw23u3WpKdE4Bobuz8l2kG
Eftx86V2tIR8GFQUkL6SVWF1xVPnUpHgmMYGjS2sCvB+Kp+kKcQnD+SX1jFsOBtyEW8pxvBItm5K
lo3CcFqDxkFLOW8Zhi6BX+9JEwGd119Nwt/wJJhbUgbDQwPXhV4Wg/OhIf6t1RW79bkoSQ0jhf/L
HoHxJZN20RzqGPHllCB2FNbwajkAT0LG/AwMQpylKV6MNjuFYyx3ZuhvbLML92lngEclXXUtWzth
fqd/BlRQTt3wHmfio8ejdOocM302LIYhAvhNo9aLJcH32bzoNkFasYjKTR9FP20n6xkzPkdcLm6x
Vv4tFGwliy25n41IeeKg2KoewaXsgCj6E8GkDVu9NXMUbdfnySlKZbb2yiG9+LiIFdlaVaXCFS7i
ae/LNy0tg23mJ9qREbyFmmnygISb7WmxPMvC9k5ZS5hRjl9zhxvOYOBk7zijS4SSnKgNszz4eWY5
MrrCkBulenfWMx+DJOqm/BG1Y4ytm8vsoEi4akmu31d9/ZLlno8I/Goxwj+g8ybUobR3//prunxO
AyrqBhjIXU1sFxotT3dTGX5TohHbyPTJJMmFJMfwwWqUXDTpfSwtmNwj+suJTeOQfbeq3GCGiyCo
WrecbpM9MkTs9Y2Msm6vNX+Sxslppw72o+z7307hEtYUDluZ6ij18d4T/ua8OLLU1nXlIJuocUu7
VfDUBwbuRNGwZ7XGkC6p+Mu//WTVyVtRRuZG0jJdW07DTlI4FEc9XZRhlnDEof4DlA6owijTkd3C
ciksQshMSIl3s9NJXLV349Qke4GIe+NO5bTT4rA+mB7xE4zgmINbIn+GWvjm98lzMEZERUXJuLV7
ChBX74udHlT2riqc2yi97iwYIug3uwphGAjrT4fE4mIUzgZASrsJAtQTid5wuAUuOeMFsV6YXUOU
KX4HAcEb2ScbGQE6c4HRo3GUwrnGWV+c0yy8D6W+873K+RzE1Zxi/2IV9JGKFPeJk05Qu5poXeiA
Vdtmqo9dkoTU3NWfRQwfjv7PUrjyG2mKbgq2EdIA/CaWN074uzvAUzLfnHEc/k5WtVbsmBDH2f2h
N35ScCX3dgIFajVjfrX86tG7Cc3GKgeGViFPzTib13Sb18WAFbYa/IsTGeUzfVvyHRLX21BNvbUp
KdCMm1EPJI5/QXD03RaiOdcRHonOs5Ntk4cwdGQODKSWKB78kdFH417c0F0rvUCTBE4v7EnnTMqA
2X4QEZvFSAKp7mx1r4x1WrvOJkR7e5C6cZlyYV9DZNEEug22elF5TBhP3EQ72koAxubWI+xZ0KPt
w8xGuvTgKHaQfT5qNsOX1NXe+5D5i4/m8xxl4i6TWbwYkFRhMT2FIR2dhuBZeKl3Xm5yzeaYk8Vz
7oUWyk37T8weFeEw6rnVoJWfKr1RJVeXEuvttyzx0J1ioTZi7A1lFrwKO3jJORHOkQy2rgzmszqj
GTfmtLiyuL2jhJN3U/jkUOg51/it7tN21TDZAE/9Wwc9YdNiYiGTwOiyQj8zZCGbcGooSIBAnBw0
/0amXWq4A2/JmGZPzU9T1vsyqbI3VmfjUqqYgJx6D44qfdFR1uOnV4xsDFtdA6NZYzCVe6j5ACNk
M+2X3oLRPLNF0Q76IJL9ROgB0LVkpftNctB/j7EWn2sQ8/vM0l7Klkdm52BeNoKrKrKjViUekvuG
PE/D/JHUnb81CvKsKh8D+ODT5U1GczVQ1Hp2Se5OS/4anhZrnZn1moZNclApaTpObIQHFCLIhVRB
b6nwccW6ZblhM+ICGKhfdEkUwGDEuza2vOfSU3urRatX+catKLMf7TQraHohn0tgX+UwwPVhr3YW
lUMaYkmj0Eiq9lxr8b4aTf0el9U7bwH28okSXFnGw4r590smlOTDFsWu9lN33ZXkDVtUxHs0us0J
MIuIR0gbtWteVK791IaenDdfTOQiNsT9Je9Yj8dDHA6KDBy3p7GaXMMyI1km79tL7mMkDseuuDXZ
z6AqN4lvFp8ACXuov80Gx090FVk7bEvTSncOMNx16SZgn0ZMHNpgWB8OkWW0Or5lVR6ecqm9WqIF
7xVx3fIAz+3JOCAzNZiemrEH3jqSL+m02z6ek4KdkpC2OEzvBLRjDy8/Gl3IU4VlDGmejowmmXo0
smV7hY1hbnvYjSuAWMbQO1dMR87VDbJfRVTnx8pX2p1h/0uQM/qgXdfcxmHl6+Fqohn0wpoTACgq
vLM0t6EkDEHDpXnog2f63tmLpv3NVUsmGbnDa3ve6gwiu4x0Rq65nqPEiRKONtB1Fzez7inA2jvo
5OKWy7d/D8ye4wJJNlgYBHuuXXpnzUKwqpWDvf3n1mZz9pqYAweJEfUXq4Uu1HeKyJgGt/piuDAH
KihTsqNkVFTtfR15Y+r6l7pnZGVGWnWBjvStG+jk6Yb+qBhYybhzIXjW2toTRkMnyjwsO0X+BVS/
qXbwZMvnm3K9950Wga3r7c1k6taerkL26DTvxnR8OBE7zih8amJjvPMXUKH7CrCCmW+zsBq3aH73
FR/WmprG2KAO9a7uVH9OBeEyY4eEAw6ju7Ob7Hs0X088j8iqutWeItmn6NPVSFqOR2wmkSQHIqeh
F3ZPeWkNV+YG2r4eyGmr57GjkCz7Q4BmzxbEJM0Va0lZjCQGNlrH4kCzy19p+C9WZZtRlsrqTLQL
zSfWYbgeaLK8cpuG8lw7XbCVAtlc3+M3439Ck9j2e7+jIReNxns/w0Xq4RcNzOygbBWTE1z4a0M0
HoRF5PyW2VoXMRhnoU/pnX2yYCuQAESJIfTA0qgwi5IF17SO8UpDv6fTTY/14HiDerVTO32KuGRF
SiFq8dTLIB1eoSc+ujKiMcRcniUEgkzmheYCRqOUkCBVKX8TNh26HCw0yojNV8/iP0XCW9gQjQqL
Nu/giz+uldlHjbr4Vg5iTSNuk2mJ+8PCo+iRVuV1VsuFqfPPxnzxLDy9O+h8bsStrBuhXIo/IyND
NGkOZuXRvyvOPWo+XLSxg0Z6tk8mtAgZYp2qqE4fPf2MtTvS6pVt2p4Ecgtmmu5N+C3xOGy4Lo1r
fgvdH2Pktu98WG/J4A/MK5ph5Vgd6gJ3ZN+px/YutslksqqftlkPt9Dfm0Ug2T+zARJhQP3hFs9T
jCF5bPal04nvpqdthyJ5KcyBSNnObR9TVRzteo50jPP1MpnLck51YMf+oTUUn56ZgLOpTeNm2unZ
U6+djQBdVXnABTJX9yoeEWi5w3cH6swlDcKNWVkHjZ3SJbd/ashx91EH+FRVNctm522YYEZrlbvx
ua2ga2hGFr4XM/Iyxj1SGiSLlfU0bJMmoRsSoWDOJzuCDWWJfQktJGiHc6f64fEaIVY6O3a8KtJ3
Sqd6g5iZcN+sAQTkTgc/tBiVaK51NMviDan0eA5g2JwVk6JROtapG7L62iBY2Qc+OYkgZ866aRXn
5R6AyPI8ZMZ7VIMa/Yd+sP8fBGKcLJyhIB26NJdXT6Ox7WK0bR10ApAf1No0kY35SYRyuqueB+xD
TJL5mMuerNQxDWYGbIlfISNiXRE2tK49bOxNBGZvLOOR1NRgvdjLSsarL1P6CyHWvbZD97tkvxIH
xncxet2zlQPE9AbgjO0gVsLVvLOVzaaChGagrKar2bfDk5X+QJbovMDF3tsqgNmjd4B3zpWQ3cao
TChB7d8qKT5iKv894we6uqjXWZQnb0dte2JkRv1VJKckGj9sveAyF/vjBrQ/m8gi/Vz0EWOkaE8P
SX2d7IE4wwgaZzAATK992EV+3L/GQWpetJgrJW2oz44/JEWrt0JN8ddoYfo4Dqdxo7uzXqU997b9
XhjjM/I80rjS6leaTAVQO22jTMc4wZO72uBMN7LFvRsQoZkmio2h358bxkVncH4X0UXZZhDYeO2K
qttqO+waAQk4jvUW4XsnWdh3Ny1TbrqnrA4tkbqLThaKzC0BvLlLZuEydEvBOHDG8HQFIHZ8dFv0
3f5OFnRPksHS/ou9M9mOG8my7b+8OWIBMEM3qMFzB7xnT6rhBIsiJfStof/62vDIfCkpXmWsqnFN
KMolkk53wMzuvefsQ4BpzCy5fu5ztwkil1Wi1EOM50ynoD0Rx5z1RbRREw3z1jNoK45diC09SwNV
QBfus8p6SBI7R59qHdMbNJDhi1DwPS1W+61no0gBJkxvtJzfkIY3B906RZpm39DK4thvakGidPPF
zZ3vRYMuin1zv6KJi141qN7dBNclPd3FstgH5uqAsGo8jEgQypjGczMcxKjrB634htGl2g9VchfT
kCX/zFAHpexA2eM+61PnfTyoqg3GZewfK7O9c+M1KNrScn/s6X8CloBqmQ3CjzPP4KRtGncNabip
xLZcVF8KWmrkhEuH9aUmUqkm4WgMqfIcRBOzVzbBwcs7fC82CNgp8gjrdIr8Zir79yk16EuG2VHM
zktjMCJpgHOClU5xiwO/CrraoqHKuJKTtOnbrkdSOFPbNjRamCjt10jot2alivvOMnciGaMb5Rr3
cx8vNGrz0GchnE9xhKFeL3XmYcyfqP9WzeN4q0kHHvOiHq9+gk4az0g0q2PXcS6SMn1K22o4LKX9
qZMr/6p2Zlwq2oc1slMUcUai4Ox52G1GbHpMnbZ2bohL2XVvUdt052SYVwGp9afx+X+JKH9HRGEU
i9vt3xBREvWOiSP5FYjy51f9A4ji2n9cve3A5i1M6p6Ob/UfQBTP/MN1Ddv0PBSkXM8rYOKfVBTn
D93FIeMa/ItJkApP459UFPMPSX9T9yxbAlEjseW/RUX53a68Ys4tAYFF8O0MW6y22p/MoHjw4qy3
Yvoz69QNJ8N0JzukJEwTrYbpmVsN8a1F+nPNEPZY0sKj60EksSP0fS/Hm59evv8PBsX4nQiwPh3H
tIGgrA5Q2/jNbJjxotTgYa2z4OjhzzX+pdR8H2anvtPLN2hW9dZyi44U7vpu9Mb8T/bPfwnO+N3r
eP3x0ubVhfjhulc3+k+vBoSoRQELlud2Cr9W7tA/WVN4sDvFDq6HCJLgWvlD3V04Nf4tXuB3BzM/
nEsFDgIYB93R5W+/O5T2OOoz1EPZKtGjrwSEZgZsPfcgD9vEfNbS6IzDLKucBYVH+mEXOWbvlJaR
kt1e0LPYYB2I6c2o5W8IE38xDa9PzlihPoRXgKm50nV+emWYe0Bn1FqJGFK1TM6br9Y6XW6a0NgV
CmFdrzgD4zPxNWw3vpYU+7xf4wwG8ymvtPlYErE8Tu7u318wV2rPz5Zhnhd3g+GZlm24Nikev16/
U5WjD56IMI+HUO7xakzs4yitkC3+AIlHWLie7oWZw5LnNOGrfEDXjvXiVK18k+ygUomIVA24ZhoG
TTj0d5qOhnV0ovRON06eN/hy6tsnUTXmZsZ/zoEkMc6jPX3YcWs/9NVXsu+cg5fJQ7LMaLOTqHq1
O4/+rykftay+5yYjadsofb1LjQdbT3ckddbwh+eHPgp/qLXCCitSSLEmCUIsyXfm2K6bpXf596+W
8WvCAVQCzwbRYxMiZJB7Ic3fGEipwYQHo7w8J1WlM7lQ0rctxhL0CCCL52HCYZQjfFLZEcD09r3C
SLH9nz4RYyU6QLVe6U6/Ob2jlJ0ynmd5ttxuPPV6fFOAYXlc+mlPCfZEZ3pv1bM6y5DowY4oAVeb
nv/9i/E7smh9LQA1EHjl6Nx4v9M8EmYQml31ktz7+IdmHqRTLtupn4/S8+5lwmDHrP9uefvrasvP
tE3CsfiTLeG3q1UfUumAb5RnnEaHqa0sX1Mmshf3HpKRtuM4v5wLBkBmB98QdcINEwtKJkN8Qjjz
N7eO+df1xtaF6ZBOJEAmXMlbPy/9VDXGsGiGQBfQXdAGiIvA+Onie9DT3HvU3fndQg3uk/BAWAkq
6d0ylDcG0PWjWsrEpwtm3PQdGfAKSflpdGcsFHb+KMDOAprBNtO0WQjcvALHruZdVrF4GwOnTKab
fwM1MP+6ctu6ZB9D0s4nRMb8ug6EpoEY0s7kmfYvxd9Sh3dtu6qOp7jYT6i8m7WMrVftCbxpZtyK
yWE4U5tXdfOISnMz1ox66j4rdy5S460Y28yvGKQf+1GcB8vU6CpFQahjlrML/NA6VmeOYxF1OnUe
weDZvLFqQJVkLP0d4Adq2i/IhvV6kVJgzl8vV+d3MEKGAGkqsprrJrOaw6TV5PKsKJAR2iYt1y99
NFV/w5D6C+1m/Zm2LVwmfxxD/kIkm2q3rVqnIfTM8lCFRNF8D3Xh3qiZeXsWkjsPe/Ee1Y57vn5w
gfnZHwCvi7/ZlH/be9joieeBduNJTiiAPX6/U+u4q0gyqLVTF2baLjH0J5l7CLjtiAHKRIFijqm+
q0GTQb2E+mAqxU6oWnFwTdXv6Tz6UdRGT/Ai279hAlm/rqjrcyO2yNEFRtb1AlzPcD/fRDV25ZVr
551QQBH0njuBYXUgrQbcfXZEitXQk8nFc7vRHaBlRodRGykUAVeDH40ITkixgK4/CO08WgnDwyk5
WMjld4bXnBlVe/u24jIuS8s5TMSre5zKNsk6NZhMvjCdLcReM84Mo7cuJGdESPdBjbmJ3RxQxXhY
F8MHPSKsIHK9oFTWqWvrCCu1q5MiDj3yOjPK4gKqRTbtQGAXAcejDI1pYvppWgWGRjAlWEv9fjwk
RlWd//0yzFv4K1dpLeUc9nBuXE8Xwub09+trWLpTKqdCyFMU4VNUlv2iLzFU94R0Brss7pgEjmza
vY68oyPTjedO58qm1eQOMQjNNhtPaco+0qBVDRKX8k2v4BQVYoaLjVboiqRMCDvacex6Jf3uuKTZ
yLVDOxH5hsAeZ4uT59gP08j4gg4PelDck4hMKLgz0zmVrkr3oz3eNhGICNiqCKQ0R51iGaGx9ULS
MK5x0Aay6lNalDPht6sF+fr3iSalrzws2Hor2GRqNEc7SH1bsdTxEcL5EFyBJ0lMn9lNMByP0yHs
x5ku4rIjlAgOwBiVW2Sl3Y7jAZfQmJ27hpBDkBsH1o3kwe4EDVsUj2BRP0MNHo5LTPy1a9Ex1+PD
eiwihON1ZqDJcEw9xWZTbwaMpgEWrWlb23aI9JqiWy/kfccaejdqXeUDp4kDvHjwwxlqN2msLoVi
ogwb1AkyAp42zqy8C9nDSKQ80AjKMqcTY7Bw2yw5ZEIYM75eaOVJQBFPG/OLowPiTqI+34pheiNS
AkEu0KYy/SKsAzL1JDD6LofplsDQkMxmllH/TJcB5p5hvfV49INapTRmtZlsYSOs9mqFZ0yOrqGn
GMRpV5VMIyQpd0druE16Yd8oL90vUzWcy1ahPEHYPUYwWyo7ZHbTdXtvCe0TuIGXdJVyozM7mJYe
H3GVfC8nJjlIAZogd1aYUZWg5DB6GrpxF93jJYPgjkRT5Cp+zcr5TrrlgYyi4dExec9HwUG+6x9t
EMCXMCcKJrLCMmjS3OEYHz/LrHGAwoUt/UkOHkXR7tFrdkfYgTmpEvkPZavoURvCH6FuQvK1soIJ
Te7tp46gSmXly00ZfcpqrOi4AP2kJ7eiwxW0MRfX/TLWLbk+5U2TjiusQNZk1Tqkh4XOiNOB3gpd
8BZzTh94Lfg3LdwKV82PbhHvsRdPtxpuaMEIN1hqnRE4l/XRoDOK0kAzAre+NZulDIgWXA5cawIf
ANM+zeC9Ed5qxjNLl1uJbMUm6us/r/C2xEZdhFypHp8Ri/jDS1p1rpbqw4vYgz1vqe5HdzWgQMGu
48XbRyLNgOroWEN62/CV+qZxa7yEgsAXYq2yhDCdkZOFoJLe1zGd5bEcbtZYDZqlzZMS0T6SY3jf
2Z2fzkpj+SgM37O/J6XbBVbRtjulxcbWy4bqyODgrBA6oGlP4529pNHDnDZvgGzVoVXoxGDTvIUo
GVkwvFsai809v2C16VO06eSHvUkvnM9dUf0gQXu8iaCkE30NtlfnXd2g6Eie6QJdiFs5KajYn2T4
1JoJV0XfOx/EJIIKpxu28p9xom6lI9o7VWbEQhbFKSciAlXmD280tBtmWm+Mz5s76Qybol++RXq5
mvRnFViZqPZZ0n5J9CMKYOczfbbXhKQpRWf+zq6YoEdhJP3Z9bKbMAL2PjoCUhc/cKocmA2rXucq
JwapcNujoNnr2L0CvfBIzdFjHe+kll6AXX5qKYf31ogkvyVWi4Wgei84UmwyhS/TMOr7OosU3JXs
Ak06RIqJz9Bcyid9isOd7QniHZbX2Fql2A0DAkNzcgxQ0g+b4bUFrk+TFGqKcnCyYyRAD7aSWg37
krjGgbywmxSXyoMgNSh0zZ3dDf1WYtfmtqtU0K74NQ0A+HPpHCISSZ57QwwInUkjkul0uU4LGim/
R2umm7vMGWU0z2Qoe/GQ17W7KezR+4TcuroFyIC00MkHv4x1C1SHVh4Shw47QUVkRDWfJ05oQGai
lkyXfroUg/ccky7G/TbsxWTIO+DcwdUd0EwKqGJpzc/RZdIHTtdSVwSf6rdJBfJ8iBC5G2m0MyQ1
dQFzQamGEK3OuG/CxvUbiDqgYtwbbWHgALDzWpyVVMY7E8UfXPs2RjPrEmyGD9HZjuaSc158WhQo
6GmSNLhZnR4yRNVVOTF/B7U8Z8t92SHpbU2EsUWRtIGeqmfaXA6RGtjF0E2/hoVdPRZQ87ZpB5XA
RiS3qv/E50EajLrxaU0ai5NANHApTPV9wYlGoIkYjmUYooGnGtqMVtMHZbUfqRn8GIVpgAx84iIx
HyINJIBtUUt4Zhhz6+Jlw8Ahg7rMnx1tyi9CXeah1Q5e1fQ+apmImclSUy3W071ykV1LiETAR6wL
IJwXrzWIQtcGknqiyNpPfU0ZnxHzE8MQC3K8d8TeIu7TtOI0oS68M8es32QOgiHMGF8aNX9B4dUe
gDf1KOiar1rDMTtCq49Pq7ADncGsXwImPGQLEsrrjAzxo/qYUzNigUz0c4bUfINpNg8aibYMH6Pv
apa4NLHz0NlNcedickDLV087rIqXYejaB87hCz/OiwIvtHZ53cbnXMkGeG5bnTRrh6wdc09M/SLm
wNIXsbOrGCx3KZDJuUIPxjizkYNNVJei86WnDXsUdvpuIkNPo8W9wayIbw4JG3l9acv7SP4eOgWq
f0n/xsBTe2mwCqIPqmknm/m2XYbxxDqsl5TEnjM71OMkB9tVh/bes+/aqmm2RCKQmSVjFCi2oZ+x
q916ffvRmAK/F7Mrcl/+hDVNSgYyS/tbFdoJhv7MC9rBu00bQaNvqav9VAoorR0tL5NeKpu/me66
qWx9sHDrOTlbObtkUSKAHgNXmZA8PImWSBThrhBJejMDxDA3TaNZwRUPBeULSQZyTnhXX9EgjIxP
PX1LJw/4pZlaF9IG0EcWrXmR+YnQXpR05WwdUa67QQhC5GZiB99jMaPv3ro6sbqwouhGMbvwYAO5
P+I18Va58nUo7Y+6Til3pR6UITIwIJ7fMi1MKElwtI3acD8UnQX8aeL6J+6sbkUbhCBXdcHI2Ga6
iUTqq6l5x246Qweq94VRfwde9So8k7vLJD8xnNK9MSXsHfK9IiEIgVrxpa+y+DBkJJfoGOaUYT9O
ZEvsQtciUqSMX237vDbDplgQ61pNQKWsH1O5EEdsFt9cp/9sqQwalL2zk4mE66qIOMSRDDOuI9tF
PU3csoECMIdV8VW5dbYvJgP3czFsombqjrkXhbtWln47o/oNYaXJpmUwlaobzXSng16SkWd0O/d5
QJizaSfxyeXP2eBtg/72SrSgvcNtRBYHM8jc6mbe6+pNL+a3noC8fjberWDAswHeFGTiTABm7aZy
K2t5KNpPuCnMLZJerMqWIjzA+jAJrtyqrAV0Y6D76vNsM/FmVFJxxPZgY1W1SYLCZN0SNFdtxwZz
0JwD5hO1gp6ZarwtBIqN8Fpg9ZUPg97Ajpz7wBAdMgm0bS4+LH1GQgWeIm4T9HVOc2kmxpk4a8hS
GKPWL/OG06/tVytaICe1yx+T6rZKsWV3w84xDdJMpu6prwkGyRtzOCIcRMunS8/YKoOYMjmuOs8h
Jw5yOhg2GtkFjcLWZnAYM1cmzEYdZhNP54ApWhusLKg1ZF0FU17YhUpuECMyE0ZKaSSGFlD0VV2C
ydfJ423qIbG2l7smI4Ql+4qv/rWIoe6Cr7G3HWIHYZV3moOjLtQ70k9Z0KnUfM6I4MtUQq4m6Km+
Sb5T8R4kGWlBK0Okta38xMZwz1n0A/V7xZrEzh05tc+5c8T54jy4GrIdk3wv0VoNjprmMS+NErE9
c7sMMTon9M3UZceiwvfST6xyjn6oteb7bFFiiIrAi67+DIgOnAStJEsUHCsjzQBobD7pMatFUYA/
X5zqLFMGrYXInqgqTsuoKmRzJaG+YbkvIzGzjtkHr68TP1WiJNUW1nDOqHAfZh8ISr6PE1pHbDHO
Ts3pfp6c54R0kCBrYjaCNAyKIha+HUUX3RDNTnSmvhlAbGFRDB+KGi6cOz7WHIJZP2BfSLLrBo2l
cmhp0zP2iXaQ02zSMMB+gmCynsQol40+hi9jKz5EjalK9DTOCyf32yYZ/MbcTWSthlC/QSSAg48q
th/V2QV0rm+ivF9yxMGjp1l+5gSRZm/HpVzpVKLyi8EaN1X1LdfQv3UklR9Ql2fDSIBmNVibfAG7
qDWBMZfqUiEDHjuD8Eur3dpdfok4CJI7PBxKh5wKadUOK+0Uf0YY2KhbN7RIPh6RauZSPZhojQIt
JHSHJ3KEDgM9QQf1NwyI//l2ECQzWbe3BK9TraN3HmIE98ICnmfkJ8v+ChKalCkYuORzHsLUNNC8
WQXhM7G2GaHAbrh0XV7/7NYcIsiEBuW4pFkVSFiLLtUES8W35LWaPEa60/QGC5et3uOk7JrsLr3w
NuTEdITcSwzXW9LaMQeTJkr6waMEk7WpM9xFIf6YQEX2JW3ZXQvD2qOs/iyQRk7Nfojg5JrQFh17
eGutL7nZfRAFwvEEAghbmDnNvR8piU0DKCdVjgDnZlwSMv+2sd51PrkzJznGB6eIPpV6/YOQJmLU
JuRVo0c5bLnbzs1vI3a50ETmmHn2vdbNMEPzbLvQnj449hJtTd17HEGM5qocLrRAx6fIq4yA2gJ2
iUeXSCxgMCy3rNh9EAkYen4QBgiZrcAkSe7yKx1P/dSGAHkZF4R+DA3+YESuQwtr0ne9BiY5h7C0
bRpm0c6YmPupar6TbG7c2HZ1GViGT0bCQdv3nJ0+oHg2SaRGeT+lt3yf9Pb6WT6V6W0cFfcCKO/x
X4+j4yefdUHjIuG/U1HpqAhN7ovrX68fKErg5jo2O24t4IT1MiUESQ3dfsib+LYWItM5zQ7zqQnH
Y7c+1l4fm7v4A4thfKimNrodTe2Azkc/OU0c3V4/WP/vM1uEOnaxud1MkfsiRvuLzMVw6O2JplOu
8G/GkXZh5sNfUclcstriEsJ8ir1qFzWJGdRJXr/mu6ru643S8uJQJsNImTi7m9IZ3G2vQaIwC/2V
qnjyHWMZd1eGoc1baERBUtQfqkxXl1/abRVmb8xjXkn942Ao2tUaca8eoXtZjDdmBu2GrMY58SsN
pdr1FgQRWts3rTUSs0wGac7wkIWzkL5jox6w2ssCPH2TRfTHLLaZzOoJWo7uiG/R97IiNlo37mjK
RNtkoZrDTZhvNkxpM5zKZJy2w/ysGvEGn9L2KU9+9MuaQSUbbqC1xxgLTv8AkguLLvWWliiN9NZp
j0ou8aNrDBdlivgeqkFmJPHNKMv9RGbljVD2cFlXynFGapQAgD2KcrVRRhgE3EjpRxwa0q8AmgHN
8NzzVPfdxVUNVsy+vFOYR27rKK+wHMEkAAixKioTDeOucZDELK6JyuZR6RNGxQKmoqjiJ6YXN46J
79h10TG3NTDLCTbwnd3D1lLtg5453qHlaLFZoKM9GRabCUkTg68Rt3lWVnGnLIvNOsrHQwpG+5Bl
M0EbYzftnZLww7nmFo2bCGagkR6nCj+ShhZLdQsEOvJV9q05VPc6rTLwpxXJHZ66hCmBdeb4uYAw
4TPesIDHlvgYmzvCrbILfIWNahwYdXUS71yTp4wVwt2zb46gbO5LXTkBwlDjAeBttuqGxjCJPg+q
uHVrI/5W1bvOJbM0sdFf1w24Yc1EFsnd8pUYkfxAkviy+VOrOhOPVDkvqdOxvI8T7AZ+1cwAujex
D0RYf57y9JibsjpbcfXeNq0C91klh2Vw4YvO7K6mNb16g/MJ+hkeh9YogGHE8b4u8DJOE5TwUZw4
qGb71kWRx8ADlVYJH5DiNpNedDPO9+aCs3yKxoiYLkATiGOBziiyxJkI4sax2vmx5njfRX1zJsLg
s1kV+jaZcgvuA5J3tymfPOT9nlY1O9dm/++6vLhUBf2TaKDwIXHjM06lN801kxPw+Md5xTwguHgx
css4G5O5bGx6dCfopC/6HFfYicSRctv1q8aQ22vxaVaEvmPzvKFTFN33KkI9WGJ2y0TU7Av6hze1
Pug3uUyNG6XnFZ4p6e0UDNkZZh8PXv/PWFrDjftU4h/XpK0eYqnDdgN8vUuYAdOw4giwHXHqzzjw
cMfI7shWmG+qCb+b31eAT6uVLVxgMQOtJcthM0xMAhB30h0po73jPhu1BqkSZKFYqnlblfhQG8qf
wzjaz6sm7tC0BXnmsF1t2qL7eoTN7OJHxwyK3bMzRyLFU8pnPBtbUFXOeh0/Aqn/ok9fMH32PuJB
UgRFBtRFH3gPYqT59YTmGs+DL0qOnixY+ur0wrcjEu5Gni2LHO7PKA052bnJYUzx8hdV/JEI0kZA
i5uyvGGcLwHOWuWukOAc2zuPgoywvzknJjyL3wVWq2DBinmClQdgETqzqzTzhFnMPurRpxoh9+n6
gfvocZHpu9TwnVbu1LDs0moht4w5/EjP/vpZNcks39SpqQKYH/ROO/j4OkW/74lwWnnFM+dyi1cl
d2lpgpcfT0NOaoZtnOBUJedhtYuN1P1jR2JfBRLBNTbWCNYPXsGaLUhstqjpn7jignu3OOsszXqk
TYBmjSMyYhw9Xp4fVUsRYs720zza7yoizzO1r+ur8Tw2k7UfjPphbOdhO7FcB5M13SUpoePJQMIh
qAXw+msoHoF8kWT9UgIxstan+LuJpHNEB0+qR94np6Mj1VlbRmZVHNV9m1zALKMb3UTVDzh+2pnV
/0AXjqiAXs6HzIX4Qck322Lcl32bn7APvtSLkzwkOOVdCA+9bGwwQDzjydLSYOhYHSnJCOdsoxvD
JjWnBt4LPCLllFWmFWK+UODYDaLcSbCTUP3VCZaquMFVG7c5YE44YnoHo0CnFQFe2fskBs08k+v6
BIxi7YBsHC2ywbXQ3HejFZc5end6RoPKy9vXgVryiKIa3XXOEjVwcaczmYK9DECaNptF6dmuz8kP
NVNARSh5EbXQBpvN+UTZucE8utwLQvVGQtXp8u8jW2IEsgGgLz16POSiCynnFnz3ANijpA0CvqXQ
mGNYtfRTziQwxMBvOmAFQ018TQDU7LW8velkWxzzyfAZ3uL9rvM9IwV3Gxc12RXTO605jWqNlp7N
MZT+IjHSOAyW5kOnSVTk2E3mZm35TEQZxvWbA4f3Np4elniWhyXT742oJpPQg2Mwlu5tQrD2sTJR
Dfdav8Fd0W+rqmWMbZCbYbZRQDNkQBpe+DhAcFrZPb+bG3OqK9lvavt7I4t+B2DyQVBnU/ik21yr
PttsDLsINb9rSDBk4dfC08egMTwgOcVAxHsGnx9U/rBdSHcLJgfyBnU134xhCsYe36qrhyELw51R
f1M0ww+2R7Bg7IX0Xx8jSZBiZ4Yfra19tyKRB0Po5hsOfq8Jeh4YRByu4U2vsmfqoCR2Tjr4yx0L
xAuMhidiLaIAQsfXsbBxzoNg2EFNh2ih0DVkLPv7Fv+M3xXOIddFADXzUxhFX71WjEj95xpPjRv5
84w3s4LYEZRUq3FCTl8WMkwVANm1ZkApM+XBQt2ulDBvnTn9hPGIiUfWPqZt/75MHZfijzHhtNAw
djKTsT6HJYRgpntuSlMk6YNF/4I5kRZ+0jR8eyhmNU6PxRsS0Fy2DxMhO1PA29P47tVri4OJtD/K
bJu2gBe0KuKYnmzhQeyZCLPj5RPiLGO+GLQodsjIcPxhjx9VDj6urX3EyVRDaIJPXo04OCkQva+w
9EWTr4TD2qwHLiaDpAxmW1aBZ4p2S9959OdQsljgzmYu/MNKZ91v2yYP7BnVKc1pWh7GGXm52DN8
ZY2fmw8kYtweAMf0UJlYf/EEdGlc+2Zv7DKDJtBIPe45HMCXgUYGOEFwGS9aUT14C/Y3Te8Oqhv1
U1OT7l7LGUaEfk7XgyTNr5VHnjAjpavNIG5qkYAZ6dNECX8eK1+gnfNnjt7Q2lPOpLiStihrMB2M
NigLKD4nK2m5gprlq4Of/QUnkXVnx8NdP3jRg6nCg2eN2TOJZAxWW0KQL2POmoB/Ot2bGvPkUQdE
Xsh5OI+c7UwnqnZ9cURoWV8UZjvPeild983Oq/rgzg54+c65q8nC8ujT7xas7Tu4UZexMCmfDJXf
4as6F72YngpGhjjhu+cl0kIytUr3IvuY85X0RxLm90svvX3tcFCqC5XSchLUwSbVUYEfa0mIp1A2
4/y5JJukwfPh9cYLDtwpUDLzy6w+aYOMnqwl+d5rglZOtZQ3RTXdWr077mdcj4FeF+/lMlBipEpB
AXHfkGyZm6gW+iczWsJtB+3LLDN1qJME4bnbMHCf7ksOXCcsc2cpvc/VOuwITSzpU/UZnpexYbgW
HTiVvpsVv001oFl3i4KR0UJ6QZfiEqq6TjCaNe71CEASaEL8ATXHlYTIDmOANkBqR+kRAoKlY1uU
+NdBS8bQQyqdUTBTois4zIrKj4rMHdnoGegf48aqcGyJZDhkqEmOrUsuXSXybR5XYo/pdwyExQ7N
DMn1FYQ1ThN1dCj58k2ZuWAC+ghMGzgPela9AWJNfGMe3W0ZDz4glpd74ebpdrabGhBhi/6wJE81
tWfABJq3zZKQt4fuZWLVTLgm+RAZxd7GNnQLQgfxQutbCatbTyTBZg7Jtme0aAaRB7OqJrqtT7zH
vrXIwYwE2vTJtQOEqVvVFDelNRJbP2cntDoRWTYk91Rlz1iSebgRAxH3IjbdMJ4dtOrmVzj74TZG
HJGbU43OIDvqrJxbN2EoSkM3A/5yBMJIjPQmllNLF5IzNB1BX6XqQAhLfBJBRfZuzjyTqO/4U42j
AJ//sK2Y3Gx1dKnkP2f0CyAHsNVgmrGAHu5MvQUosSCP8ha7PntxeiZW5VgO7ZfWKcr9sM4GJVG9
ZDmkP+YEUGg9im+TlemH3l1OMp+p0Jso8js17xushZc2k6gUJzwAThJDAdcy7Sls9m5m+S0xP0yE
0I7YVzjQd0crt9FUy0tFMoCPREVuAGbvM9syD5CSAKJrWNo4qoqWzRv1zFaCeNR6J2F6NtJsHb1g
ZrLWKdVsY7vmCo1hsdAGxR+pdegrDLRmDeW1AoOA1bQ/ppjrHQwfICcZiWvolLb0xikQnBhgaUHx
GTkyMFsy8vCPpveIqJ51VGmbKjFv85FEClxcpZ+aTbg3GvhZX8wJ9yD9meIima9rU/qVKttld4UJ
HbbWj8YtjSB1kQwayaFIiogJSLJuGwoltTee2EBvh7zbS8rSO0thXtQMRRhT225zO0JC29eXwW5v
BrL2dhBNznKo8B4vBvXnYjh0Dq4wJl67dp4G3x7gXjqRitm8ZsMPh+bFmblVIDe+1HpfE+ow0i/X
1XlRselX6DJ8a7CW255XDj1Nd5IOP7pWQ7sB7LSQpxwxVEv6I7qYQ2R2B+E1JhWuZmxpSLSMHqhd
UyiLGzzkUA0iZFerah7uLxMU3E/YgIoqmFNnvh8tnUNnqNzA7ZsLqoWO4JflXrNLFQiqMIxVNcIG
TMZbT0lctrUx74fZJgHNdCYfOx0lqHDDUzZ8Sre20s07p9JSsnx0tXMmFCQxXI6+b/A+ApII5olJ
Tj0wM3GL4TFCKvgEs+OctbxujZGGJ/ICSJPvA6UNn8kzJssrshY4+62fRt55nLwXa0m/GX184FzY
s/WmP3+4Pjb8+g/XxzTw3OwIEChdPdMCWTOMvlL6V3R26uDFQ2zDp9cHrx8ax023WHHGbd+W7b5C
ohkCGjylZtqetIWUcHYM/v6vBx3Qe6eGvYt4jPXT6/9UIddZ3DFkLxyH+ntktQAq1s5M7/nqolzO
YcU2mekVz+H6k+Pr07l+qhcwk/EesIGU9elfH5oBK+BPDzoz59DETt+vwQANv95psfTHdiSTQlqV
tddMtb/+27/+A0mNNmUryZeKkcyfz9aIFrIQr0/8+oH4tPbk9MNlaJKUY73dnQpz4sP6so/c/nlB
kM01oICxKhl7othZa4QBTv07z7Zpha5/uz5E+GK1U5F8kkVasIJGGaiHrDomdFg7mvCYzSoAMIch
ZMzaFNGbDf35+uXZ+s7U0m3B7D4ribcfnMpC9jmSh6vK7n8tPM9z/f0//s/bx5oun+DQS967n9OJ
DX2Vlv/XDp7/m7+p7O2vX/HPOGPT+8NzTNcmyg/IFv6Cf7p32CL+QJZqAKSzTM/0bATJ/zDvOMYf
QnJVSIekRmEZqyb0H+Ydi3+yMLe4QghE7ya+nv9GpDE60191wTwfwzQsSX/B5RcFlvarctJlj2XS
pcvvi+p+/Cdh57UcN46F4SdiFXO47ajOQdk3LNvyMufMp9+PaI/b1szuVO2igAOQ0ljdJHDOH8oe
V3d/NEijNxhWAYEYIVSifKbU4UeRNviJ+Ip2KSFhbhTLatdZmaFripuT57fjsmkoqzuGkT2WZVtd
qKjOOGvlj6LxGtjvvHmMte8N+aPHIevQGPbZspQwR4YFFcoqktvtbTFE8C3kXqCaI15edh6TEw1a
7zCSoK3ibJII+NlYCG8dbL+maDUEbJSqrkgW92nRE2tEr20tCfjL7SYinKruC/uHZqV7KJODYVLe
Yks5ogjU/FDg6Q5K07wPZU9ZsjfMY+xFUGZkDSYxB/ZHXW7HWWGRmUQSDGtlOStJy7nFQa/dHJyB
+3wPibho7rEC3/iqMByeHVwE07vad80FgQHTncOO6Xfp1FSk3XdiyCcNocky+VvcViNyRlmOG4tY
LZrbOOsj5sSNKCZuyrhrHvCfIWbcrkL5cIMEMXbEZdXOyqyqYLhDjNaRoBJyWTupbQyArpO4TDR4
5Es+d4XPn55L8QZxHStalqndHczJt1H0wNeBbberKtxNs2KiLjIPJnhtr+RQoqAflcV7MGIt5rYt
2AE0xd7yaO6R63l33NyjaKQg49L0ZCiAJ3YQut4VJXDmaUkGyg4b/QXDyLnV5cV7r5opJsCIt4hl
XYATVaZrVysEf3u/vPBafS5pHrllqzHQ7pSUYEtW/3wbukGkH/FewQXLNdu1mcoSUrX2CQKWyxcE
PBDbFyxAdcc+WUrmnHDXdni0K2yD4GDd442fultL9S4iJJpmHB3y3rgcBQlGuSLmA2Ck/twnK+o4
3b6ZmlY28G7Cy2wp9Xy+Pk2IJfdYFSTw+30q1EJhptJ0VICr4lWMmlGvSZj90p/5bQz+h6kGtusO
wQAETRpdW9xXpmWCP5PRqj+Va8QMDmFLt+BF1dZBfRWNzMYQbJSFREpTX5tcqXeoXV2KxAk/QLke
EZ5Nvmp5wBEud7znoUq0RZBZKiI1/rg2e5KZbkhiw4LaDXzUaXaenEvds183LhgXNZGOfoV9FlJP
ykPfDsH51sT45KaoSf0WmiYluzDmKOyDc/+1Nmid4Pyh9r3/89ppJsG7axmmYI3xxCMtXBdo3CvO
U8t/0FU0SBpIi8b09eU9Frjj3kHB9pA0fX1FOQ1tVVu6XeSSS91YAW7pQ6bqe6cZ032UrMWArBNJ
1t+6/lDp+8HJ7aVH1vU2002XharktzPddwFca4o1KyvZP9rscKGi6Iew4bkHJRy47hRHRIm4a3Og
SYdIX9/WNaP7cz6pUKJNlC1YlXot1bp8Bc09XK2F6N+aTs3XXjXg54Uj8FXEkC99gYJTAtYk1HtJ
uq+t6O1+Ue2jjvTppiC3p9UZmnyoh2j8Gf30bCPVNMpqc8COOz3fQlFTrUK0LuZiGCtVenYGNbmv
vccNMAUrlLeR1eQ7vU2gD81GHfW/jgQz+DMj+Q4BX5Li8ZsMNo7ieBId4BOxwPj5Vvj3BXhlZeDS
/4VZhNvlp5esIzsaGRub/xu6pn5+yZJIUbK6Go0fpmM1DzX/+ns2+8peNZzWXEGmN9dFUj9L0Pya
WaLneNcHY7aGJ6NcGxuVgV41TuAn5KvSwvWWUa6G08WkiPmewnkGrQbQKYFxUJJwkyDYYiPzEH5D
jN9H4b1c56P3NUIz8wkTnv6SDyhxTSPRdJPTQpP8HOTBXvbH4Fz7nfRk1NSKILvicjAtz8EFoZSL
GLsYokU8q1Bdm1mhnZ7i2JAwvRskBFPk8HWMi7PnJ+GHIgdvUUT6CAFVZCODyFoNio3fXmvOc4g3
5wBS27qMtWDrVi3Ar2TMl6Yrp89KCjXfr/poPcTAhZD7jLbIhXBea1uYkQ0N1CPSXIjzbgZIIAxB
DiajtxcjscyuwFDFOT96qCz9elsGFyCYEOZagttepa97hN/BBAXWM2S/k1l67TfXw0GCT9d4BgEx
7nD1RAc76bNv7rGzFM6lSWUt0A1j+1NH5vG3TeQ/8JiRVfz8obEsRzEs3QBhhxXwZ76sFXJYz6rS
++gsFF5iFBquraeMF81bRriQkh9pgf6MdXE27SFZDW5VL9GsTJ5Iu9V7i3QTrvVhv9MKkFoSDhI7
nifSjr0oqZkE+BmGFC6lm78mRE/ExDox/BS7X/tp4p8W32PsMFWKiha+HirWpIFuHHI9kjbKJCxH
fb49J1JB2UKX9LfBah4dMEz/KRHuIE3tfW/8RCnTmacZe7Cp4MwtPKm7UoZDIsZgQhzqfVP01hVR
szaqtYo13m35dKGIO2rXzyK0NPbUC8OHQpWrTe4m+ckJtXiRRJrzZmf1aVAy90cgpWulLfJN4pgJ
CYROPsYYMSy7EPvmqk0Y1smIYvXURXftFGKDsxXrRGhwwa4BD+I1F1kJrwbjWw8SGhVWvmtjlvjo
wrba0sWx+ILmYHSR81omxq6g1DPKJK0UXWwd+iHybyDkp5hYp0sgDxK7rTkm/nVtBxph24TD2z2k
921ysCDd4+RlLNSyw5RMjqY0dqQ9R2U+T3BC2IlG1zCTdWO0U9Nph3CfED0RA683iSb+w3RTRljP
qD4i5L9uKHq1CoduZlba1zHuyr3peD90ylXH3m6MFws1XA912SdMZLpHRPKXSWhI11xGDQtXIMxh
a1/5Rs37wfVs9dVCZhhoihdvOijqMF7b72KBGsU/csOoHh0jKDb6oMPjkzTptWzstZ6jK+K4HiVT
1elOZmTne94+k3swE/HaS6O1N4kVpogbzDN39A4R8imHwUSdY4FS5aarVO/I1th/JKOF5asvHwqq
c49KJjkPodX6yH0yKZpWKs+olMgHMbqvKJBcehRX/bqHWEHOwr3dow49fdapiQqkAkYMEB7XBos0
dcNMsbcS/mF/dPvz2A3SGjUof4kelvTiorq24BhnPGjIOL/AkkvZqvI2ELMmaGHJsqVHP0qla4fC
HDh5BAvBf/wLm1H9k4mnWzIvOgN+MyRLsNuca/88T7p+1GPvGmMBoTrtGVVnZNBQ7fqWR/6uJbeD
KvxRCRK4GS1aaeTIUIoBhLCtQ2nvx/aYzEHhQHnJ42wl3m52FGvbavDjbYA3rbOCpUdVC6OmmRml
3b9QVrU/yZj8+oZmwlc1EAQAs298ZpVLioc7A2zc7x50SrPEGYxiMobgiKDi1CHGTuD756rQq1kf
1tnDLWgXdn5AHHRp1QNKjD4o6fMoUxAfBp604hKMTlzMYkZ9zjcxREGJHH1aqsNCk8zwJGKiMaHq
rqtApmI+TRhTY5Wqt27t0R26f9mcTPmH34nB/ME0/jt1B5a+zWvms+s9dc6CfHrvflCMOkCqyl76
IeWgbmtvlZY3m7TzbKCVmv4WypzR2xZ1rylF8FSg1jW6uf6m2VrwEMBRWoqh22QfsVaVZ82WpItl
eI+3q7GXQC8TII+4d+Fkl0o+6Lgcpt2XoB+rrdCklvkXIeE9yVPfxsi+33rwlrEuF5z+OmukZTak
LSnhLET52WkAVWDNGjZkZFE53kS2QU64B+y/C2LLujVhX3XlTIy70C4WYw4utE3wchPvezyWQEPX
9puugNbs1clKK8vLR54aH2JByfNsBkvQvo5jDFsLWNWqAiH6HoO11AO8PqrKj1ZRz0PdGGv1eXRk
eZVWubakIPr7UB+QRwjRuEws3TuIUqToicbHmA2nGbtZfZoIEDD7F2a0OekF/KZ+Mf35OeVrMu9a
zYKB/ElPQNG8QXb60PxoK7s0j0bQAJsng98nMhKmwXCF0U8DtRpZCtVfGdNQTMRSvQxVc7gt86rO
BeIYI+feYbWqwBxDKlW1LyGwxUtU+s5ObpKXFmvjiy48yRUoAAYC+oiEZxYQWqg+88gMYb9PV4iF
o+e98kYxcAXDxVzETfgu3FUEUk+3xV3FSFwxTHdNkNcDH/LXXfyh1OahAZlKrAsiPHs9qnAauqxK
VEfoTYvu1IieaDrA21uMHzjEiS5aSQvIt8ZDE0Hw//+bPUXINvz5ZyDVpyuOppPB0UgY/vnYVGFq
RnlgqB8IJ5dzEOLRKSnjq4PU19bKvegkmnZQolMYIFGeIde+EjGxVvTKGk3zTkHL7NNEX3T1pvWH
t0/xoS+jY949fgqjpx+dVC/c19ng45XGSKwQTSWF1GxjTbr99PuEpbXRsmrqSa/yr9/35xXp+KAi
VD77NJEi9XzwONHd4/cfJikItaWKtBOTIh6grbX17TJeJ2nRctjxaeoIoOlt/LkrFrjmhET93P3t
MpT+CpDwn282jWspR2E/lybgWI8uphzbB9GD46jqTX8wwuYx6L1HbI/Q8syqYmZ3TbYy/HpoZ5Sn
KRdPMyaJ170YDmTkVniAFrMopADnIPH+XKnK6wg14krODYPwDE6+JY3yewywc660EdrEnp0+5bG6
E3HSB6AGajt/SPxAeVfN66BSA0X73YRiXUoLseof7qqgZbj4/x9c1fz768OBUoYiDFIkpLDF0fc3
VZ8wy5SogwL0QZqHv7Dp9lBlGtU+RPhI1xDrcUhglIWqLy9wi4iX5JjruQj+NtOFD/DcioMI1YMc
yOi12wgQO0ju3Bf3o+fc1lR5lOyHEBYigjRrueO5pSIcHsC3PwKNti+OabPjsyyAIalzEaG0Tqst
pbZwBhjCvoCjti/5aJarJJSShYiJdVGNRyHKFg1qzCzpYm+XsAPZ2GVqoArZGTvRuzciZsL3WvGI
pqI8rbPUIi5v3X+67rdpI+qGB8nh+B6gq/Pp/p+G/3SrokLmZjDBzfz9N3Pq2trG/BvtRrmX9ig9
SnvRC4LqBbs/af0p3k/L7jGN0u4M0fJpM0bm/H79p3Ud8g7zEkzM4tNElhVA5cQNK2AEC5vfFtjY
r6C4o0lS8MEhc+g3hr5zo07fkZQLd6ODTCci2PgVExeTdg8xeQZPz7itu19BvvHiuvKwvoful4l7
+vo6cB+xf8CEj99lSdm9e6lV412bkv04hyxqMitfzTYEa2b4xdolL3vuvXhZmnbxxR6oMMdDyZmq
Kay9X1mQ1ScdTIfUlEh0mIiGz6SJX9bDBn2wirB+SENoe3HhnlR3BKdq5S9SVXmnPK7fEzcrXkLE
wvcNVUuyzAwbEGi4IJc46om1SQPvsRnDSa23eOnKjWTtkyADQoAc51nrw3IzyCaYW9waHruMJH6K
j/mH7LyHdo9UQQGV0cWa9GoXo71pQ7sh065Nb/RmvOa6Zc3MEE6siBlhNZ6HwL5dIEKUNxoAaxBm
PS8cr+JOIEguTp75B7Gi7TP+A0nqLT236OamA9C3nXRE0V7lAQiRtMdy2CXvNSgFyQueh6IRs/cn
430C6e+VoZKJv4fgUHGT+wP1/pPuMbFa+XV790HZiPc2ogC8x2sHr2vxXr+Np5f7oBhUcRT3cA/d
X/+Qsf62GxDr7puDT7e7X8s/AebWYqwrnf8vmwXtb0esSWvKnP6n2gaVxU9CRRpM+dIJo+q7Xnob
1QzyfZy76qopwh9AE0d5ZRRVvr91Pee1ziULeRJX/g4O7Amoh/mi+KA+3d5wdpVjVQc2uCgQlxBw
SmhpOwuCPGLVZnsYe815MhMVXqVsv0GwSx9aS4eHbvnOG65/X3O3Ms8xXqgXz/HeSetf/v/7ZaqB
/rk9RTPOcFDIYXOE7tXnzCliEbbaq3L63Qx7Hd+M3ry6UM/HyDfPYiTLtrpOyVyAJR0KkHRmBjKK
w5iYTTqzBKeUgCtwLH0VIT+CeMWI2M1QuIjj0MM65NTKI4moaUTFE7cd0RWNMcArGwd52yG7QVHC
dLeF1Ja7OqpltEnrGteZnlcuWYgnuCIYCDq5PgMW4cMkt/FgdY3A23smDZlUaSd6IjbqarhpLBc0
MJOflom1TdR61UxMS+V0ryBoj/gYFs9swoyVZQfpCoNb6aUeQE/EulttxVDXlFdJcoyTGMnqoujH
+sXpZRiVxXipJPx2//+fSflcRubc7PCBZHsgs7dVlc/JSldS5D5HfPVbIBkIgaTSFy1u04toXAPy
fRqHZ35N+H2c/uVDIKdQcs30EhhheikbL0E7Jpk7UuFCfnc98ww9rw3aYKCq/NXoJPck7oXoSEpK
bEK76uXx/jMQPtr1Ns8bcT8Rl4LyGWeJRR2p46XJvYY/v+vsGheCRhbW4yp2TfUahwCqUCbrvkJW
hMiS6f+xY6DpsWl/VTsTd1nD8R6HcKxXLU7GO9g9SNyX+C9DLTvey0H6CKmz0ZTo9xJRaV5RH9Qw
EqZEhKZsc4iV4h8vCppajucBF1jTBeK+kt03h+mn1H6MqlE+oBZ2/wmGVJwDTJvneZHV1yQpmkMZ
lMcgkuurCPGlgKbhaxB6pxVK62Qr0ihAxRfFYJl73S1/AONELUULnAtIpceOb9VbObnINT1vvxSq
xBvc9wM66yBiEz8+lZ0N5XmKtwlYbB2wFuoMKKGHURwsyNwB2hxihDQ67HR+Nb5s/hyWdf/sRi05
duSDWg1ywF+NOlnaxo2BQgiO1airGfFCxMSSoU60nV/5yjqSOTmXOIm8qt+FvZVcF8MhKfAkFENJ
Qg2h1FBCN8tAey15Qc66FmfNn9egeq5fFc8314hlFkdbK/R5zH/G98o8jHIufwmAlXemBK6nbLJH
c+CwL4fpl2IwsD0JJH1rdfXwDPjhAdXI9AsATGUJ+TnZwJYI3kJgCGJ94isW385cZ4PF5Y4xmy5+
T2EoP5DIbW7onP8pO6oA8f+cu+JbZxkia+XYqn2rQv22FTc81HqSpsy+wW9TIInY5kmZGgSY+nmd
IBopYl0D5m9WyupDafOeuK/z7bzbubG7Lzqt3tmkQrBa6ZW1NzTOKyLNy7BVx6+hg9shMFZvL4xr
tCHdeJJanlPD5IWUmhvAidVZhGo9dNYtdtiYcPwVExPGaPIFjtuD63JlUWJ6ViYZms2yytEIrnW/
o1zQ7ZD21ik8gyMRQ8/Lw4Is3IDpieiKqGlWwEZ/WyC6eU7NJwz7jRjV091uq6erwU6PGDlH5q7V
JRKlMI0f9d4P8Mm0yfUNqXz1UKbBaxarSgMw4CqczLpE47JwP+QpDO0AtYJ7TPTsafZ/xjQc7Xeu
+XRfJZZSIxtw/2uhQeaVTAmysZaSVMghxAQLBRDTVYHAchJxp6OMmderylWAqEyhwYqzk5QgHD2N
RAiv2XhLYQLcnuqilm51vPY5lmlZNbwXZYwTnQfVvMnN4d0PsFhhO/Xk4gtO2U+D1jst4w9jzFI7
Co7IpmtXGPlXEQcN0y3LwfI2YqhywgnH5N0IkXCcQOlhhgiOUVWzdvD9J0xA/adWWfagex5vER+k
tge1YOubpXGKUNHf+Ua9U/um5E9AI+n8bWK/C+FDmeVj5XuQi0NEssQsUhugG+Qh30hsHBZDiAM5
MJVyW0FnW9dp1FzVUYZOiXfhNyQZ5kGtuz9Ms3ilJF2+dlVnLOTposKXKkQQzElJFdGrGShaDkqi
a6WcmW4NpGQUyKaxJrvuOg/LHuSqX2gL1dBtqlDOA3IbkbzGPaOa2bi6idpOCr2E8oE3rEXhB6hi
twEAs7VB5byyicDYanTig+vb4yMJTdw5Och7bmrg3Cn1C32EEW1AzDr7eu3sFQMK/DQq8sw6i54t
4wsDSfpoxwFVCbtfISThwjmcnrk24vMPtRq8i+eugY7tzwkxTsYe499c3X16PgeGdu3gM+FggMl7
KyeYiDhZd7GyMFt40GqeY4dCbx0l/ruemR9WJOff+2zYttitecjrX6QIi5UmYoCQknsUjV2YCXIp
yN1YraHdJiTJcI9ZqrwF2EcBHp8mpMZRj3nRItbkyHt3GGnsRNmLoV1PbuliXFZm9VBY+fm2blpy
mxVjvh7y7RKxjo/YWdyqn3gRZZwtFB/FjzGUW3wMaBRS88C+rmZGBcoNUUzrzKhcizlcp7NDrrTP
YtS4aftYlOE3A77zXNFIAea24Z5E4xRhtbCBoSzvMWRfpFPnOisvqcz9PW5FsJolq/3BT8KZTS44
gfEsx+ewN5SVCIrFctqGmzJMj5GV1RuAIPHbANGyNhJqX6RYz00TfhPhMMBLIUrqBjcyVrV80MHV
+8HJRNTqyakliMfEa9vKtlTRowWaIfFb1KNYNkRBt7IVj2OfmSlfMgkqRJbzIEj7wTnnaQKkbLJh
dyPK8MB3vAvYJ2ALWufy+7bdCtpKAKAZiwTRRAjF5mjL/zXuJcxKPTwhFu0US8S0F+bNLjLVeqfk
qHU1MY4BBa6bZ8uRknlVSsFHPSL7V/ffqfH2CG0EzSkLK5PKasM7DAmFF6RpLmJloMovyB3Yz4Yy
DCsJQ+Ot48uf7oWVBZxyMz9bkzlXFytWgQ4BXb2PcGMR3V7H1w2Tho2MpPrObL83Fn+ZyjHbjYWn
9HORIHJs4lr80FLmeZYxGoQkjeQM29byGXcX/iF9iJNi1knghY2uMfkgMWvZZbSpzFSfi2GV8EjT
lV5CT4hZv5XTfdOyTxFDXK8WVqzDXBsLn0RV6//A8mjWuB1iLrJL6sK2rS+hm8K0V2wMOapKWhqu
4u4B7yHxZPsebgpztZkrcYS3Iwroy87J1Ccdn8pZbeXD16qWd02pSV8iVUeyR/OezMq3zyOKUFTI
wmqeSdG7a1bJQQUT/ZTJQbs0Gt2D+aunG0qwwy5DBRTu+l40CvW+W08MG/yTcIKmuS+RXBOtMANy
8Vh7w0rB90SeHP9EQx643uk+VOVZbZsV6nfY8UlIaiA00fkn0WROEmzatP56D4neKJUoPwSZgmME
DqOBjl5UosLGN/ToCRWtYifi3hQPZSga0fDYt6W264DsLEpsHOY+/Owj6dXsKHqyVWbHuB1+zg7T
UMTErBMDhekQXHrTIfnM1UE2jprZV4eSAtBcyqviGxpjUBXN5H3wGqQB1aTdGHmhPuaa91Ud2QED
F33wnbo8InFcHkVPJfu14JBtzskc8XeSbKbFjG2GFLc8TP7E8D4hLh4qCKiaNaRrMSFitzsYavBo
sUVb62q1d3iNgdANTmGXU7MubO02RK2muw0hWkAwl/J9h3D9NhtLRAjhcZMfsaLzmKPXpasyvzrH
5ZnZ9M25qi1IY0pgUCANNUhqRkGGDs3a8s+hVJrdCjGJfJ98de2MD3GRQFNRs+C91fQe/hWIYr2O
zVVf1Poui2F7OM2Ahqot5xfgGkiUFibp4MDP1nxz4xMc9pc0SOWNNo1ECNmV+BRbDTwLhBRX+AtB
oxXTwvLCRvh93pfFwc5N/4rHGJozCAKtgDQ37z4a+MloNk9K0Fr7HKL9XE2K9r22Yjw9mqA/BKo5
PtaqfkCvuHlX0yxZ9QEmn+Jy8DvIJqXhpZBCmEMU7klQ2FtRtxeN5afObSgmMlHWv6+BFO/jGo9q
jtToj/gaYQza1q8x389dAtxq7iKK9hpCwF51vmTfZvlTKig6dNZezMppNU+1xH7S68I9pwW4PniV
hwxvXqBYmXumSBkeMpNq7jQSIdGk6fvQm9pJByh4HiUn3yBDeJYjtLkLNck2EDGqFzVBIbhOShRA
pyG0r6/10BlHMUpdFYuzIryKkS0tPatvHlGswmymKBYasrD7CrLkfqpYtbNi6oqxaIKux5SnrOLl
faGY+DRsrEwDG5b/dr/7TT6t/ad71gUVQblrfPYhsXFqVC940ErEqwISK9ESpS97HiD0tJSjV/gi
5kfd8rXSNbTLSKadiiCW3isHAYtR07xrN31a205G7T/OyUNnnbJScC+Gw0XWt1fSZIeyFiAeniJf
PCM8lZ6UP4l44CPBJOKpEuNq17pXtf1aJ4F/LnrSbnnel99qozhaYe+9GG7FZj3lDFYN9vCCafJO
LJDMeHr665D2h1DZm2OT8/3wqm+pMYmCKM2XRDL1ZRna2Vbx4+5q9iESg9O9bVwfPDXJH3uv0jZ6
Y8Wris/4+4jdtFiglai49vWYU5rTLcRxAFWn05VdrD/4WdDNKPRhfxeCBRcocNEI/PfkrLwTvfvE
p3WfhmJxEfgRXuO9h1MPN73f4NP97j9DZUMPMm+EhWzCvTcybOiqYqjf7XIFITT6UiFYv7Zj/kyh
gus9SR78j6yBXKg2gmgoILdOy5Ks3jskUZ5cEzPeVMMRKKiHctd3VrkL5Kja3YftFItsCXUeMS3G
t4W/LrnH8gySchaVOGxN190nxA19WCgPpREAKsvwbIg0PgWqozw1Vfjdz430oE+jcrCNedQhjltL
LlvkgFeWP8ugmuOlREKJfx4DsZfA/S3lZPfBrghM/5Zksh0yb2EVvN4ySPcLbuNQ8nbVtFhGnhdG
s+HD6YWHFXuNz9kR7TrRm2KSHhb/0bV8DiTA2WvIce/JRjh7Mbw3mQfwvVZ+3COfVo16b8zHGrLs
dFzMy6y6RhM2bgBLBJyvbrZiqNSSzuYychbYdqVPZmmjQaxL72EHIKfQRlT6slg5SApOvVLmpO9x
UW79yDU/EFh70Uyve0k93ML1Elu2EJe8QxMUeAvHA6DIHCslFdGsjeWih5RqpnQy9fZn0+u6Pes4
taxNJfbOYqKWuvokNysxGEIdtzxrKDscueotwtDogHmoknhy9EPBQs/HXbUN/B+BbFPrkSJOBf44
HrAXHrbl2CXr0e7yK9BEfz7ygv4WQ/0XF7FHOte5Y77JWKwvHBReT40JkFzrdeS4SsiQTrXwpbH+
hrqEQDwHBSpbfVIER3NC9SnQcga0yy66FHcz5E/Ub/Uonfw6cp+VOtDXhowFKhXl8lm33WuVmvmX
3jKeRznJrhZmpFfZstkoFBrS+NNQTEhlhR512x5FCHYwtWzKYrX2ymkZFICSfyhR9VomLmQXq4L3
6Xj9Vh6j8cTRsJ+HQZ9+R+7HHqPiI4EZikCJEl1iVyo2/Oro81I+fvJrRO3Ekmow17itdu9QOcyF
hyzDfnRUe9/xuls07Vi/G23yIH4uCXE+qOxRr7lRmssqdbtjb44/mwyw0w6hdegUf8Udu4dJ24Yg
/AuOTfP74vuaoaNckA2KO2sinNBc3F8ETZmtnrzIMYN4uA3tyob7zX+EGI5KiLCtG49bMURCGR2/
SnZ2JNP8F6Om2l8oUXkQs0HtvpGQto48SoMXjsHHyULvfLsRZWcv8aKruFDRTIzs6uTS4L12e28n
gM66CKlC8dIWMax3qSGW5uEeEnFAcl1BNrk2vQ0HvrC+wv/018A1vyp1C3y0GOJik8Xjd4DD40Mj
V8kJMVYZaLBGKXLAmzOKKudjoOSqDkh68t2rjg2Z5C9BijqmPBbN1XWngyCakXgvd+kOyYVwnStp
fSGrLmMyESEmNqILZ7oDyJYCrHXuGOFVNE4Tb2RwQcfbKKjI05rSxhzj6LYAvdtxrYXoMlt1hsi1
ioZt1B9EgxE66vGiOzhv7YgJeeW5L5lr+buuglSmR6PzEqiDs1JTy1+p09Dp8MLj4+VsxGypxR95
qttHcakRo+qCduITiY8cR0Pjtsi0c3Wfa9E4E9dknhk/pJiJIyqDnYfO1mSc5J+6bHCU1ZBPejo8
nVAcxNWNU2FQ7eUwg5UmpjLU9WZivSb+BMmQo98SJ9jFT1pYSmO3W6QYLmKUGV59+jMuq91gsPdj
rRrH2BawVvPV6rYMzOpv9xBxEeqDoduTqnrO5GQpDkNUsbDdbagoW2oSvPZjfIsncq8ucbQtN+jF
Bq9/rhfxtsTvtvQ4ciB6t2vaBhT51ENkUNqpMVwdKSJZ3g/S+JAVIw+mX5tOAxsZxNaLnQjZuJ2d
xUe2dLc1Fb5NkePuTHmle/2f2zsxodbGj7xSfPZFf+wn71vBJuoUcs9NPKvMN5Im3TsZcKQgjdBZ
WtMQg8kT+VE2QnGoHryKUo+Io03DB7scebehOPnUss9HjhS5NO1ZwuNih14s7JJElt4jVfpSuq2B
friGTqdTchCY4iY2WAhopzkJLaddqllrbjvZcbd89Eh0/+JtVAoGfXE01A8C6Mp+Qzq76MqKkeB+
5KFcrhAw7hcillgGyhxhUy2Vol0CzVDPpfAlj5FGNZwSJ27YpI8kzeVdgZEsShuS/iiW/LqgB9zI
UTkEsOjIyVOPUNWoor6EVjL8j5JnYpaET6HUjbOqsrYtTOPJp7Z3j4mVuNCMknNvTGzwzN+mcVzv
WsSZ2T/Uh2ECp4lGnc5lWEG8uV1bbURIOP760ynNJKk1B/8YUaChhCeNLoL6kjc4izRrlC0qWYfb
UOQP9Sg/BLmpbsWoHFUeqLZdwAFz12yC3EfRAHB81XqzgFbguI9jhAwFm3cLNVmGjcuORc+lLzrS
KUjQIa/H7mo4i7VZ4Dhz5Jek2920YMo7W6EBl7SQHjW1VR/H730nm7iZDxnOXXrQblHjmRSYHXOj
4/YKWuU/GFk/K45Rv3lofiwsVJzNAGcsNUw4XgdRTRFDN48IJVWXcvLqUvzmFkqx476tqPvaOopJ
sWy6yHaVLdyO/IETIIAy6MD23kKuu1wESvAol3L2wIYGSSt1gj2I6dvKQhnHRa9paKrdrxSLDM/7
iDqUeTF1Ca5lpV0SXR/eRpmjPukjVKumIXyBL/FkSVkF420VVrhny8aitws4KE4Nexo+jGMLjPZX
LPVSPC8iahaZV+sSGh8jHskgXfuQbWmHvJnb47UrhqIZMw9TZwCgsyLL2QqLoBJLvr8S3QhEijkX
XXFlvaK+mT/UFd40sd9WVw8ZXdhwVvsBUIiO2n6TYxkwQKlVJww4u62n8HpyMV55rlrpC6WJ9gM1
DQ7pyiWJZXmbeEnjrZvWoIQeUO2309I/kKtjQ9U26HZ1iFGpZao9tzAYktiQz0Yqa889o2gaibkO
xo2Yk6eV01xeRspt7u/XiTnlv5yd15LjutKln4gR9OZWruRVKl99g2hL7z2f/v8I9W7tv+fMiYm5
YRCZAChLApkr15oRwX/GmWiNIqaCdnsdF/XSGDIyaqNod2Cu+wceA8VzbsBFm8/gHluB1pmYYGQ3
6zYNzW89KKHF2Kb6ozJVOVLBJaI7INi/lKzNigmiGX/+ylViGV0XxmdAl/pSOjQjWNoaW6Gq509T
1YGxD62ZRh7ylYWcO4n6y+Ar4VuA1hc6SVq+1Ro4EoH0xCx6TWsfzWJ49SyLJ88GO98KBV5aaPhm
GMzc5e6VZ/dhSIqgBgHT+Znl+mIoDfvDd/TxoUAi+WHwEvExpNoiyMz0K4+pZq1raby3uT2/8DE9
2tz4ECwUyaKMpu5FVAFQrbhVN96odIgdxgOR8xrB8tnbqTX1iIQjjAyRSmJg9bJvjfjJorz2hTp5
AsGqOR3uM9UO6O18Hkp/SNuN6lCJuD2mKD/ONJBoectm7fDlz4fOteHtlae3jrMxVqI3jV/Sg7Tf
D+XkX8GeUWpfVG/c9utf1RxzoLLhB0teSBhDL3lB1N0HTgqrSj0gCABpbwRN63COK2e4dk46XocE
yg0LoIA0yYM1cxMGdXuRLSLYw/XmlQOCihVCBx33fY7K4/adlMP+PkdouiMUO9WbNKXcSs5a0QMS
mkuBgWs7B2hgnEMzH+7NVPHfQxVVRF9WFEsHKHe12Zhz9bBsy0ONei7FSiUsY0zw96z/akeh/1Tq
pktBupVuNRBlUO8o6huSp83abrTuQfiN9gavewn0ZkCuftKS3TgH130dpFKQhfkmyQLI3Bxvekha
BGACO0vQ6YHYFflFREd6NXmF9zyAT9GoFrdmQJWS7uWvslUqYFm9smqWkxeXhyoyyoM8ux+U0CVF
ItsRuSz31rOe+UWjBh6nsGjh31HaF+FBUp36Tf8awoe0rwYX0sq5GdlWcsj0zFqUajq85gFUDMKE
Vlp6nUFB4GGA2SSxrf61R6LqBKXE92xuZYQ7zlE0vklfUybGxQuLRzkw9oXxOPqoQMw9EzO0rqWj
bKQvLwrnSfgwDcw+JI+V5yb7KV2DGcSvGncjHynrZRRD2p2aL7JfNrYLGAWnZ3ltBx1h0uyocbQ1
HA2tnb2KfoQemFQl2Pn8dQqadzX36rP0uRGgWD0a4qN08jdPl6lXRXvpVZwwX6FKkG9lM++IE2QD
JNLwiJL3L9xDJorwhIbrvw8jEmlqrx2leWqrggi1Of3uEWnUT0HhsGr9UK9Xso8aKfSZmmnaJnp1
/d2UA6Vfjo6gYtwgeZSi7wU/Q2H36p7lADEnHtlAeqwEtcPWHeAoNcpVAwsqX9Vs7JEtAIUpO0GK
tTLVieAiMiqn+2EafPWkR8hFgPDbaXNLOqUdOuB2pA7cg3ES0mUENXFnGlXsi3sn4ufhuq7aeUGj
/OoK0G2kfMGt9hqig4OdHOUh8IFJd7dqJXl02wYi29mfltlTCM0mfBx/+shTRYnSo8OHnTvjcIkd
mLn00C/2pRnVb2HJ033wLJ94DM1KL59gioweZctsk9VkdOMzqxe2Gvkx9kuoGqoyXwmdBHk4KcZ8
xzKvQRmPmxGCqVXkRQHsYQKkltHlObzu/OaWqUOm3VfJm93aWuVdUBaYEMbQzaucxy14gGcGfPXM
h3pIc7ZGAQCbS0gT5UfTfkROXppu9imBsySA3VC+CGnr3Jyy3s5v10EHTbHm9WhCzLuoePLriz9R
LQoZIeLmVX2p5oO0K1BQBJpqnGRXaKwhQOWTutnu3eSoP32lPXXHEp51fvdoBoxfxKy6oOXqxxA6
zXZovQYVk/5m94U9fbjV1GwttWw3ngnPIguV4Giix7VsytJ8aNOuexqdtH8KtG3gNuZVWlih6Fvi
nMrCmTyRoPuOTp/iWvVO8Z3uCX0T81Fj/3/zAgiiFCcMvKUcHKTxzw5g7cpux/itHcrdkKX61UAB
g8JCmzIObhRaGrqvwVdprEO3fa46h+QLA7KBcEVuN+gOMMBmvX/xlPFd+nzCtSddr7NF24T6k9tZ
b/5U/dBF3r1EpW8/FzZaWo3XLJnuVfGEcjJnn53AZ+TGebOVXTvXmB4gK6m5WeBNJ+Ed/8yjj7Wc
J4pZr/YhpcO1pl+MeWdUzrulIjOetag3TrLlqw2xICglIclks4R2RnWe+0sntO/WM4xqf/cnftuv
pVMYUwVfp3lx0gDQUgKF6OQO7t4uoPgu+sJ84iFlInvEfT0aPXTaq8B6yjTdv4wFTKWzU3YLtMFc
wdObbO6jrP45p3TrKsfohdE+TPFoIabwz6BBq55coUfwWHIloeQudLpc2Jx7/HVh2fSj6BhX4att
d9qlsqp6pcaBeIMu5ReMpdPPwHjJFSOh8prKY83Vp88GTnfQKgbgIx4zm7KyJnSJBIE1hU1QDkIS
4t6xWfaOa72JIt36ELWW5ZA+1/Oh8nsqMBQQMlmepM+ey0JCD62jbMkeTlk7CwTOm50c5XVpdKxG
75tjOhbE1U7OljkuW5BaTr+jGhiW3TiIz5076LvU6S4gImBdrOQxFNB/a+qn7HEzUYiIxsM8oiTL
BDJOPWizSdrtic1JFpXDSs3b7pIb6PNFSVx+TrVRrUpVG/cQsor3vnpxU734nJDw3vZd066tMC6J
QSaUiMTQTsLtry5Lryie8vlgikZdBFNQ7KTN0DQCvmyDWtdHzlnkT4IgLOiOvFtIn+xVQPRAmUJ5
svrOuBjzwYLbe9mjBrqRtlqLjQtkEsbFCZwrGxd9fzeV8CufQ+2q16wLFnJ4AVScPzzU92lMgcmP
yY6tozworkeoS57mXclpjgol5Pt1vbx3qgdowGWTfC+M8n+aiIzvBjKzO1NE37lv/IQOnYznME1H
TUBNWCN8+UzBL1TUriq+ZrbzgCIDZK+dt1F8tfw2zhJvaZNaz2OAftOkOEhkGLW2D+FTmmHV/hXK
hX1k+eC0rBXaec5nkCAso0XWgHQRTYXkHSxJ1rtrCGcXdSgg5DFJ9jyAkiKZYIS2EsV4h7rylYI7
61FHPuIF/u6NNNcx7JFKkA1L2fQN4a3SLjX/6yCjiDMom2F7HQhOz7z4dmChMQjbKP+G0b/4GWTn
jVF8sK/8RJRteuxMy3qCvvYozZVGJfFYVfW6DZPyI4vtAf2g3ibBPIRvZGJuowddJ4zopO1j4qIt
RjLmk1AMDB7ghFD0Gv1PJDAeRQ8mT+E2eiGMD+HvbIftBlWhQZ+Dm37wWU6bPrKKjyDTbBYaU7QK
cjg/YT2C4DvNj6oggNKxYzx1mh4ulTm7Xc2MwGNnRCeQs/ELj5eDTHNXYYB6s9tYDzI5TrXXsifL
89aAej+MReUjEkUy3aAWhiqwKruYMHlcx9H6kNOWOdJuUCABZZqv0sKpKMrPOoGPyrGbaC0z6xCL
fpLZ7ol91jV3VFjQ5aRTAdeyBTpgV4/frE6NxoVmjM9RHBjbgtxk/hDobrDNqAA6ThZ5hLhtvAe1
CUzKGpquOTcdJQxD1B8Irmoavzxpy8NTA0tyPrcss+s2rIfjnWKPyqEqcni0+tR7CctRuVhecpSt
2DCnl5nzZHa5Xd8e8jydaUwjamsoWENpgTx9CJf/k9BMlV9XHnykrve96CzlhxD1kmRFGCA2km/c
vhq/wzOCTHfYW29wx4QzwKgEmjsg5xoO1fOkoLNVUbZ3a3bU6T56arAaNa0hvG2A1swoWFgHhhDn
Qne7Zx9oFTfyp3DoafQpnMwGJAfSpwTFcArMkpJFnEEd0yPWfsQoHRxjSgo2XJekVmzAGNuxv5jK
1LwUrardQGAQC/7K1DGFP4CkmsMCFyEPwGFaN2wyNv3vWlUXW8O0wLwNhv1Z5YRc6/or/+IBzl2K
q7m1/kKbD5ZMt4T5EQEcBE5RHcgi1HIVbXD28kD5BoBMeUpHTvMRpZJyPvzt/1fX+3ijabvf46VR
Dr+5q4Z4QZnpV7clbjQgcvvVUYGFOFBMLuKzW8ItAVA7uISeEnzV/QwduM70XqqS+meQMOqF8LgG
AW0Tw8BWwXwf1cHCUO1kX6WWuEI51T0EXsCKeWjEVdr6NlOW/JaNTZepBIaTjt9hAv9OVkzlQwvk
+WOs7K9uXsaPFSUMz1lqPATcINitIvUTTzZIZO57NmzzBIlAMSDgqNe9exoLYAxe0K+skQRkBvbj
qQEksVUDPd+Cu1GegllJoGDd9GrEKIVpRp2SWxPV+1Qg56HbVnyy5qbiKYvSzcNXKH+AmHbOkzQ3
2eDt4gLhOcFa4Z1nvACUj6yN9Lqe9YsiVe8sndIkm03eH0zq31+HoZ+2Xh+7a7NvtU8iYqe2E9az
nmn+yQnql3hwnUWOpv0McuDiOlo4LZpLa31ugrFDDVOgXiq9FCYoe0WQCYfgKnw1wsI/awFxfcX6
zPLgXbVG66WuM30DVixf13wAL4aYkbROFSy7WrFeXJITZ7OIXpMeLT696YeNUhnH1oJ0Bvmz7jmD
oAaAbxQfxhkfCpuUv5sSNQY9gFf2i5pwWbEAvMpWP+qwI8DAjPqTdwUkXKB619iPARl/frf18F1r
S7YXWfpFmFGwZm3P8kZ31XNbWPpS9ihglVPy6HtD1GpZu+TjxQSqw6kcfTV50DbVLUTvynS2y/Ao
qjr7cCItAC0Wt3vLEOlHb7ow27LjapGSOvdFQA6BD+KjSyyxZiWqPxjVWC0Cn/gIpF/+YtKAuORd
sE6gY/4a6hBTOKahnCOQnfuh4DHD/9960X10KoyyKK5mEkTb1FCUk9SOlQc1KZ8sODkQnfjH3oC8
TMwBDces16lAGIZPZcovLRjnXyKNV5WtJt8RCJg384CdqEGMN13LPlEd1P5gzzKTqp7aT02hi4UO
ccs3p9A3kW6Nvwxf7EeiMV9qPa+W6uh7R8uK/IUSVy2SDn31FqL8s4eaZ1zKZhXY9gOYFbJ0s1eP
4acIUjQxwadVbyRu85WDVvx2nL22TsDINkuCO7OXxRBVvA3fhEJwAiEaDf6zIr7KmQroqu287l+A
6YwvSALNiDcuYOjZVhS5fWnRCwPQ1f4S7s5Um/onyeB0McRa8YoEB/y9I8IkqUZw3wrgrR6J815V
4JLLMbDyr7FbbanRa36lpbXrCbR8QR2mWmZhNV1jPaTEWUkRCCuC8WSqcQ7dRau/GnOq1qV08ydC
N6z/ml/cAn7AAK++NUniACbwcn5xVIij5yseBngMHi0EQ5Z65Gysms8RGH+3V7IXQKNauCudpjrA
VoNsxzQ6ESkSpE8P8iBd96ath4CqXHjL/jUmS6iq0EpP2fL4yM/VfKjBnKy0qu9WME/mZ+JLQNik
W6vd+F+ekD0dK3b6SC9VLa8eO4lm2OUuz+Lbwcp9Vkd9syl7dIOlrS8FwIys1j8hzBK7VjaRKXVh
IQSwOo9VLRQfiD12JF+08EBGvEJYYD4dfW0+nbL6IRfd+eYpOxEiyCLKYCNP/9U/cC8jUZSrZ6Kz
Q3TkfVKN7EROEUjZ3AwbxPEMg5uDJjr/XW3RiCBoMm2llyc1siE5CjvSS1Id5i5FfbbGsnyepxwa
TXmTU4bt1CxkU07Zk/1ayabP8uY2pWzClfBgmaWz5T+o7qXcgU85FiRlari42+RZ74hpb/XVkN48
0vhXn/9kY8Gyrb3mRIbHpLT+tUGI5XEwOvex9R330aWWK7Hz6Xi3m8OgL9IEzITswf7WfUxmVGJD
JJYM1T9DUQ+BI8JG70z2Q//dICnL/Tl+6IPWPVXzmeZGv8+kja3Sb+9f/f6TF1CCe5svT/yTgM01
jnVn3wzUE8JERIWs65mmuZSnpok42M166yD7kszTF4Hb1beh0lbJ8fL0X4NIlzj7Am7/1Rg4KYUC
SoWwDkDdFAmbxyn1fWo2NJaVFTCdMvNIPv5xjLHjnykmX8pud7sXwzHL/QK4PaFqdyHdjamfQBX3
h3s/JUKRqg7Hj8GynF2DUO3GQb9sr8fesO8sCO0Xsj25ybgP1VyY67vfLDL8sqs03vrf2rrp6+AC
AYHC+rSI1EvmZtNXP7ertYrKxD4Iw/5Z15oPaRdVsbDGcagRfMpY5iW6719T5IofMxcGNX7szaqq
bUTpysCot6QeVdjqBkhnp7KxD6Asb73lEBaX3iUuXmSD3B+jekvZeKS4TtImDwaM6QsgvNxV1EAs
Oreeg6dzleyirzOTIE/s8c/KlH3Xx5Sm+iMS8EhiFapeItcdv5lFMX7AIAA74aYMCvW1ea2E072i
pWdwrsdd9yqxzr/PbQPiSfTeL5Rpu8gr5fqmN5BW9Ttok4As/ayM1jnqYTK8INpY8MBm9xRGYnhh
qetvW1bgK+lV6jw51ZP3TTqT0tBYIh3AJSSolk3VRjP8izF2IBrN0jvJQ9qS5F5YYkTDUPEiBNzn
9t0vz5yy3apmou9bFBrbh0ZBYKbIiK56UdEdrI5YxUIIpT3ItjMb5dlfNjfRIb8iMslCzIBQQzfB
+7hGeGw6BwFAt/99sBzogodoKjd/OSgYgPWpdGdxjH9GEN/zL6iNRSd+L8u/7HJOEeTPCDByJ5+v
MNh6f6wEgeS5NkhW+0xan+/Q+KRW65+yH2m32KRRinYvJKLPzqDf3XQ7c6keuk8nbXLOP32l6a/Z
9cA/aHZZb81hQp9BC6GusES79eI0KqhEaEfSdH2ez6L18ylteZbBlLpA5+yoBwV3H0cYZwitzLOp
Tz6MOuNK65TibI8CImItzLQVAlcZoPvZa7J+6DsPDQV+KGCVZ/WXMXwfUYvZZog3r2UzExYSrRGI
NHDDETKj0U99hjZJZ2w98S9xXukjHkkwPpaaEr6DZfT2dgedoezkD2XF7QqJWNnkb42yjenWB9l5
CMSpIh19dW2bfBq/CWmuU6uCltYOby9KN9nLKV9u0Ici+yxjO36UkAbWKPUVCxU8yeMd6QAG/S9L
rn1GcRc/Ahaub3iJ//s8t+vU1sd9jn6gWIxy5X2bjWAKCDQHh0oVI0q2gQI0bD5Q2dissinhPpEV
LeWKShsdUwpWj/KskcZpstmcI/XIzm3uJP1hrTe/+996yQFxSkYd4i+guX9NIt23QZETxEc0GdgR
HWKvrR+61nshwKugzoMI1kmehn3mU2GFceQPyU2DogbQfg7qqgqFjvwOQkE0JBLKISQ6glTLefB+
NK6IVnMYEe3QOekoM5H/OSkpXQACyoPsqRioJfdVtje9AboQClRLfUaTVuzPT5KP7Nb+467VXunP
f5pDCE/1QjKVabAB1askHpZ9acWHAeVo/0FOIQ8Nkn3yApFFluX8p3mbAT6fAfKYFIEoNklX7dO2
LOMqD8iXtafIDIDbB9y90PpVdqFTpXx3rXHN6sS8xqVPxYiCBNTd5nEPXtWxQ+J1nko6cqcSi1En
w3i3qar94cVTc5AzSTv31VUNfpwyIkYaWh49Kk51u540IT2ZkZ5tn+SYyKHgtmv0HSoyA8X7xXA0
Gu5XnfA6VqhltMgg7Gi5cB9xVCuLZNfcYRT+CiWoYe/PAwvZSZ4Kn8SjFrn1+r4Qq+aV3b35/7Bg
++9d6rhGYxD4y2bo2PhM4BvQb60uAjgzbMPzwe4f/dEa9i2PeQtgGrYyd96IwJo72XLiqrpkhlZe
HK/8MSC9vrubZA+UoBKQJOixjBZUxHFXKCdYVhGVCrrxPZkopxxa0TwNCKytk0IRJ6/pUF9Fy2qv
Q+B8rN3JfzDypnpUTKtfRcjSvE5Tyaa5s9y3pB26g9IiH7QgQeIC0+Tgp0N6LMqDloXeURc+TqiC
fztlD10fo6OpBwuVjbGaWNFjPicWozByzq7drWVLHhTuAvvEaH50ox9HwFDD/qHwSoQCbWGvajsx
97VPsbkfBsqDOU7uS6dUbFoz/dAg8euQ0n70wrNjWTFkiBxinsbXBure1HWai2zd7L63Zy+oHElA
oMucZ/UXYYfWXvZQkyS5upAvL0hdW1vT8VV/SYEGkIS6Ch7us6spRKB9RuL8bsvrRFlPRpKu5DRy
wrZsxwfS6ryj+UVZ82HI4mZXBIhv3l6CpxqsDWztxayn0V/aMFOcgqZ7uL/m1kYwPCd8+r/fHfqa
EMikgObnly27w8N+e3d30593eH8FkemSEol8e3u7ZMZ2A6AKy4f7NSMHbU8jIwN3v2oXKmJNKdzv
dygnrMLs9zu8fVph4EL1O7+729y65bPe4d3J3nJ++Q5raMTuL7Kf32Ha3L6/28fSFxSBx8PvdydH
q461V3wXVNT8QcjRiMV+ifTK2t+nd0g7LoYKDSBgeOUzuKO53lUtToXduk+kyp5r3fE+Kb6BcQ4l
2H2mifI917JlYSvpOdc9c+1NSAk0Tn7hxmQ9Z1JwexLcZcKYrGdi6kdFM75KpzyUgDEMyxtv/auO
ovmGAOhG5kP7KGiPbhH/uPf3NOKHPPNZcLrqqjUU1nrlTNOeDrOCl6s9BX6uP8EodXSHRjlFc2ss
nX4fRHy00im72QLKelbbAayQdBFNAB2FC+XxPIc86E0xrNPOKf5lE+jWerZTX25XGaOamL/QF/Iy
clRjhqiC2EW6l81BG+sz4OZbS44aGuiMSruEnPPP6w30HvSB5j5KUwThwxYGiXx5f71whv/K1aQ+
yB4JAoMnR69vr1Sa4HYnDjrEAdk+3pC0GZ+x37W3jwSwf/GgRikwfuPL4J0MkWXnWtEoYB398CLP
rCSldAq12K1sOlYCk3upg0AITUS3/+rtxeqwq6h2vE8ge8gDVxDZ+PsKd7MdFxHF+P9c4e5Iyvb3
VXKKUGYBLnupdnAkqwGSQ7pCaJtFx0a3FIOSej/esZyHzHryhgNZZ5d0e1WePQ+phEENmqsBumBF
Psd+UQLXX3ZGNnxYdR8stMEYv0V5c6rcTvzy0CrWsmBgTYiUJ1TpsJInrs76RA2+O6b2s3F85SNI
PRe+rDZ71anrQQ7KM6+ULrE1NQz1zMvVHpBUdA6O0rk7L3Or3aDwyzVyR8qwsPLSxHf+XOMRqFbR
Lmp51FjyN0aX7qRnMLy54igjl7zQu3Q83qyO4S0GHgRrEBUI7q0avuUMreiGeL+iJZtWY3myLLM5
na1d0So0n0r4hx7CutiFlRYSM/X8i+qBBwFfrEDH2CXLWE+b01Tb6lOk1q/S7voxymNT1ey5u2vU
VBor9DuVT/Cs2sbThU0imeFDf8r1Fgra3gx2/DW0tTSzQzwg26u+RFdrClzKwOykgQrVo85ywzKR
ICQZ3wQRMDM51HXRUKM8n046rBWupe17zc+JLwar0O2K9YQW9Ktnkz5rB8QRXMdGb01BVsHOwXfI
ZtdSchXl6i/ZmpTGvXiRd5Ij4XyxnmBJX8IUzLN4PrjZFmQJWpNzo4+LB5jbm6scm0bTq+mH6lm2
eCfw8oogOsquSQ8IsCVUvyN8oLyk7D93/BUKdWEWdUisnoMxaOFSdTIDVcrwt21KqeeC4boGKGwR
9pMdo0H/xz13tNup2IsxB2/8x15Yc6ChU2NupNNbjNoKsOoyee+UUYf+nye/bKKwjI5NZPp7H5DW
O2uAN9Uqo0fK1ae31lrJTlrmJRej6PgdM4OrR9Qz2RorgXlI4lqk8xUBSmD2jho3x96Z3JP0TuS/
wSH5ryPoqqtlNOcKgfF3U3PDw9SEFeF4BuXdlCNO3NsbOcgqEGQc25DNAworB9j7xcafKyblIZK6
PF6YpodkrsOURgMsIdFRqGAmv6qeI8JaY9zq1zY2KriHw3id8wlvpLMfXXEh7XhrSVPV9v4yS0b+
QvNwj5T2QWssMl5DQQISWtBXpfUjtgnMRCDY20UUF4Bg/qVZ9TeYHYD9hHOZuOkUj7FZWg+2mOaa
uQESQIVHttfa9VxZ7S2g9i6+1g7lU9qcRtdaxKKALn23RVks4jRXX4vAJtVi6jqBbNPb9jBE7Txl
mvEkRbiGWTV/rRO2Zvwo++/E11a3mcos3hV9Z35F6xFR2lY1n9uGqFeThOnJUHMyd/Hgb0NELC+B
Y+QrV4vT99BWfqBKZ/1MhuttHkSvrgpSK5+t1TeArzrl6sH6sBLThErTkLxOyFq9hOhBvHQ1SlCx
Q/3cbIpqc1pQtQGyenaWbVpucsLpa+nl3hgfO7MHIjp7C9iFX5rDfS7ycXNUK26O0u94abpuHX5k
ymfmtd3L2KWrEjrjd7S0NOAXKKrKplFYzsYO2hIi66Z+ZyeGlFM8UD4xdzZSsSHxAQOKSKsnSqtu
5sFOg0OWz+jouVeS85+jfGR4GNXWOvQK8n2mpfSnmZ9ipdZBvzTtaThJmzwARRhOyXyYosZeIelE
l3lED5EtqvWzR7Z1FcLSu1vapBc6ONBTmX1Qa9RQ234S59r2nVOTO6hfGpP7lRDc3h/E9FZMCDjk
ApVcajLDD9+c0JZI3K8KBc2rTJ/MY9hp0WNG+oayXt35mkXju4b4BKLwKIiIrAfX2IeP94PTiFPN
QudAMWPpLmLXi3eTYqMxOPdLQud3Zz+Eg9hUs1OMLq9Y2ITqFqXV1Pz/ZZvdxaZM+XgQnh8fawjN
9lMPlEdWB6BP+L2aYFaSlQMNLSA9AWxOVBWMXvhdtdvwLKsDZl8z9/z/GCdnMa1h52pVeFEnSgWU
mkS8sGLvKbB678mtgY+49lVaRpWgDzQ5zUr6pM12m83gNdNFthIrjrd1D3NZgAhctrRF/Qhp7XCK
5slyobubCRWpULfspwCNFUjvUzYmRmM/6fnkXhMHmAs+aaltS1kL6tlXSV7D2hjF0dqgAOSkgcp2
qypaRlFcvWk5avfyTNoos2qfxwHtd4LNX7z+l2Hn1YdT2NnOocBtLc3CDw+e05oke7lbIR0DlUHa
h1+iSf1OyX53DeI2P4/G6Cxk/zozoIrInf7sGWp6Fbr5U9otrxCsA0ob2hr+Z55bHqWde2sDd2aK
PKuV+h+RSXJ+fjlKryQPCRRsD7LJq7P+vLq+d4d1Pr8KGGYOZev8fnUdS6llr4tNDZVKVPb5z9LR
LkRk848pyq2VHQ/qSTReeSgR0t70fRi/Th0QBcIo+U+qwZdxM5iX1tDTVWsaAqpLHxGQ+ex+SFtl
fLC7+OjZ7b/tsq+pmm++6QavXWcetMTWP8RQwkOWxcGp1FrK41WRr/VUOO+DnlxE6Go/IiN/AhWX
vhs+b6uvcuUQGVN/gp2CylEzqD/Byu981t4/NFF8QZrLfFUrJdu4BcF3I2zUc+9P4UyaKb7ECvLq
c1fokFB08or6Jaf6e9OZrY8Se2hfYI8alro28icezQ4q7lGAaptMZ2dE3pYNRizJgt6nrGrQQx+T
L1YRfkPTWnwjknDOIej4WerTWuW2Hyy87gTpSR4tWhv6GypGFpR+bMw8rX56gfqImFr7zejCn1MX
WFvF9vqNivLIswC8lxfP0EXkz11VsgEdhbaRtm4yqwuFY9ss7/NbD+gK/aWXmIQxUJgb8/ApyCLv
UoQWKOb5jEr8etUmebhuXOhE1gEMY3wD3qHSSUrzeGXfaJXx083bCOqSIrR817EDeRHp7pZ5/hly
s/Gp3obI+QMtR8d3CJtN4nbKIlIQJxZurx/QHkc+yM+rr130Bv7Y+ZZUrVhCva2d+Bbskwnt8LKa
He34PaUO+Wtk99Har9gH2CMQlULtoVeLI+fbZBZUZLTBR9HH3SZ0I3WnFJb65EbItcoeQ2e/GNRg
voaZiWZ3ZbmA9+zqtU21Z9kBSqJ0AakfkLO6rhBED3U+AvJFQDGB19UfDpjsrZKkxaZCCMZp4+AN
/nt9l5hev3YH1fpiI9AeOtn4LqrB3Lo6uiHSXqnfmiFMPlvk3B5a4EcPmhfaX5I0tb4YLhGFIVGd
h7Ltk88x+SZ9MTXOG7bVxhbJlul9NOqVtGsWG9WoTnViXkPwRkB5Ky9BfMdZhYhAG3aiLCsrQOqM
vcRBnhVz826TDhSh/48uvemZ1FO05uqvsQNI+z2s7ihaQvEnD1UETrkMC+Nftizt8wsvInogU4AW
0Z/OyeyArd+Fddr68Zddbyi5Dfzm9Jdd+Hl2akH8d7E9Lmuqlpd9379nVl1dy7ly0YXD5/DHRNV7
fUWc5mYiy1YRRKIqVmFbG5hIOhco6l393DLWjTlAeNJ53qYwzOLksdPbUhU7HNSG75O0uNj5tlcc
0jzotjUsnydLwKjTxAUZDAUVvxgu5McgquEEEJX/nGodDLERi9FIV8/AAPJLZRvqxtY6scgyS7Cx
vn0W6riFI4GdqW1nF2mTZyLxrD2VQWfZMrzIh8ooDcpTTUIqTPrscrNFVYqEYKomq2Ac1WeKwf19
M1UAWIU5luz1giUA6P4qvVbSlCsnRB5UNo3Y7Y/FmH/Lq1R9rs2qPUO2eEx8AWuvHoVkdK14K5um
qfWLrIjEzRv204PpxeKJ7Kn/0ujtSvZyJ9Yvlck6XqVaEeAXXDOjNZEn7EV0DCqzeQvNahmPBnTM
DpHCyezatWy2TfyD2vjxEXnp+Jqx97SaBJCoh2pwYZcNvJcMSlGrysmY/A9r57UkN6506ydiBL25
Le+r2qvnhiHNSPTe8+n/jyhJ7N0xs02cc4MgkAmw1KoigcyVa+3kDH1XyzSqx9ImCqzHwbmREUSM
aiM4t7z8hU00XleX60b1y7VpKmMMELq56YYpbz0QJPsU5fqraBS9iFZyYSJop2XpfSyox4RqJc9H
BdQEzjg5izFxRQVnuZMbEpzzmCv57gq2F2UB8jAf123ckxuZOHgSp0kOIUVN25j+jXnQ2bVNwwPK
eXFUzf0RxAdeGPb3sHB/qE0vvyalNAJLqvxrnVX2Dn70AK5FU790CvW7uZYXr0qYB+Q3ivY7WF5D
05wfWhk+h89pKeu8oQbz3tSJBUNdmzwUUYak6b+Ot5Px0xixDfRHmkVs+D8Kw6vUiwOemZIMeVzr
AAvO2agpYCPD70gSDbC6DMNRXM2NZSjJVokaqqhRcXOmxmcfQtXjdBlq5XOrkiGehd7EuCpRpy/G
7s6//YR1du5LpVjHsu7uJKrRtoitDqCNzOBNVSQJ7kDZ2IeVF7z5UfI1MJ3qyos7eNOnLHhcvXqu
1RMaTp7ElLGo1AMpw24pnGJOsCC/qPYgCss7ZeC1MXZUFhm9pb2Yoa6skmiorrGixjtFLhLwC5p5
KsI43vhlrzxaFIktO8pJ3rvReiTIPgH52X6RtFq4VLIHLtsQX9fKJeWO9aNe8QZJCkU+KXDVHlJb
8nZjIY/X3E+H1YCQ6WvXcUrOv/DMSU66kZMCCKtuQYBLjlbAW+OTN5VJOQ2lkAvRFw2QvBCEQzOi
0Rj9sog1hLvwuc8RfVWCsbVr34dKTx78ifpa6bvs1KfFVQyF0xAIBOMcdvVWDImm09XmSqxgIebM
4+JKnTix72N43F1/rw812Pa+oJwQp0ui6mr7aXYS/vIYSBvXGCuAWJqzNQhsHcciLA511jmE4Bv/
bFeatgHfFt1QsrJXHFyGp2wwahLGWjG9c3OkijRvZTfUnemRrhxhbIHEIJnYQpSyjjZiMFRSG731
yW57MDS7RNOGozyoQNAUztOZ11RPbReDBNddgtWJnGzlpoMYsc/1/ZCUxT6dIpMhjIyb0SnjWy6J
ULbqPetylixNuSq+oCPswxNKaLGFmJRqzpSt8rB1p0PUAmDhuu0KqMbczNpa9rAwJsBHW0jBgQM4
em9T1/Ibd0G9hHQK46R9/e3WWKAL7Z6KmczXfrq5lekiWoabw2piXKxmTm7gWj66sQsxwQmM8Smq
63IrxTbJ/WhQnwLTLB98nuBm7RvF0lUpCmhhJDiUTqw+WWaq7jLPoJJ/craRenlKKe2ZXPU8yZYK
WLedcFXkOj40EnBt0dWtGsFLp1B3nUVKCNog+SnxYdY0HCN6zT1OPc2oml/qkM0w//3K12g0nkK/
Vv6S0pY9VwzRNrGKhU2YK1x45ZZjBqKr4GnWVZQUD5JU6cuqodS8DFs4mpqE0CFJgK8UkZ8zvyFu
Edo7r8zsH+TnXtw+LN7zxMiXllTojxoouU0Nj+rZDCNt3wyJtkM0rb2IFaH6SSHlcmHNbnv/a5mx
O+XdNcWO7ysWCeidaUW9dfLlMJEU6sCi9uKM83enoE9jZMSKg58Q2h6NnU+RYpjpfYrezJCsE/iH
YOmWtDx5COo8eyma4iXrNPUyuG36wqfMADcaRGQm4yhlUN3ZWnkQVqupQvg7jXYnrGQ9CtidXBN9
TuYShjU2FbHuvmouYGgK8O9a/G4H8smYNEhMi+OJ5zpfUt2c6EaD5uKEFcDMVnE5ntcUhEVFu6g0
q/4+blxPyr+XcdwDEIESS867d0o7nJMrlT+buqmGdZzF2uKT4VPXLCtOWxRHivExyOAOcZAQTEbd
Ofk1YWjI1zm0hgYn/CLo/2JHBiFz3/2A+fAVQXH/i5PAE0xdUXcN497YVdTlUOti59eEhPAKmm1z
a+qDs+T1xp99ahoKDI6mYsMj12vIi4vBDFVUhKWHiMy04fL+GoNFoHv6qasq99n1uumHotYIM9JN
Wqdcl42B5MXkjEqAuR01HbqNqes3DjzOiCHfl7Jyp7n4UvMipo6cih8hPFpak6tZN92SrU+wiTlP
UBfpjdEqjzl4ZprUa29NwuOnWnFu6P0FkOQe5YcA0gFjlUdD913OlaeULONXtzWrhWqZzit6XsMS
zd3kSW7kYA3x9NFJLHgC/QHO1nDM9j1IHJhPFClb1mV7YKthg2fHqlh6vJUMO15lkZs+JVMzkFkg
0/AgRmTXOznWuJcxnX3fdM6qkhkjut2UT8umm6yACHXyStjLgYhw1sJXXDXuOSQuvyz03l6kvvwc
WVRfmVAybAfSTxvTTculYBYSxEHhVABbZ/kkHQ+sVR4rFBFj9dXS+efZkXoVPZkQOsjrZzRVq5sC
5/ChzNJy5aWW8T602V9WYiQPuVNJF+ihSXobHb8jdB6maOQD2eTqW+I3fxn8zd55uTRoXwILCLUm
WMLYfENtvrtkFDGtA9sGSexYSGYqXbUvPcqtXfgmB7RzkNuRxxO/lj+UkQckOiDov9WttzEdEJbw
vQV/OfzHaKWk7CIllHYEAL8NJcTmiQ4BeQEf+s9aFhgiUzW33tARdbdInaRbs8ibB9/Mz7E7qIhy
aRz9y+RPuYbZhaCzf7PC4qGT/HDf94F5hMQbRsipMeKrl3/NCr/2Fl5HvWgWtD86dSNr8rYPCueL
n7ndutbk8mhzgLh6fMRl2LDJ0mBw2KC6rV/LsfGWHbFIqoWKEKZox48WdRNZlH3KV01pxq/KJLEK
eUq6cK085xs1bDLZfvPh2v1m2wHMKh0FZ7xQwq1Zwoziykb35pjAtUrdb//0jGFbegWJu0Z7blPd
oUpPevDMdFfrkC0MFqQjQ6Qu6xqR6S7x7W0EJ/kx66t+Z9rSwR2zdK0MznGMq3YhE/QgENP0mzbQ
zE3mNl98K61ReLeDRZUOwTd4mW62UVjfc348UDmjAQsN+saR6voA9evBob75gsMkZk6FwiUdwKVH
wEB6zw8fRANBmXKUIljpp6FIkqAVS2xjTW5HOXfWoJzlLv/S2/mtMFOi8Vn5TPl4fIXYWX7JJOUV
lkLrooZ5dR6M8taFQHnyJAyPgfM9lJv0JEM64YT9sPcs2FWA92f6Sbq4DZWKvpm8d6AytmDToWaa
utJgXqfI1qOptt2lMWsK1yVAbboUBqtSbvyj6jRnpW5sOOsnxOEETPQdrtgi/BXlPhipAfoCMS4a
irHA0wsX0Xf86g82/Sks2sNLj7bQtYjDl1rJqguBVn5JY0eGr6vaV9lOwwVFFsm2DNq/bDIhD8gE
a+e+tyht1P1gyW4jO3H1IIyQxncP6CIAVx6jb4T18egUY9g7QZQv7v1AtfrFUKkxoLq0Xee9XbwW
WtisEYXMt6JraiavH0eBX9YbqX9z8mHZ1ZSBEmXT0uP90uLUenR1Kv2WE6jiGHn6I6lgael3iBD6
ziGthlsxhMbVTkC1dvVad7S/ONcVCzmsv3W60d7GOiHtlEHzWQbvY8nvMJTU5dCE1Y9Of+psC5af
yHdOBWmmBSxU7aqPKJ5pQqTIA6lxdwjFEXDi53xLYPK8pdMVaehbosYFRZwMCWObUSjVdTwrRVdW
9eQiKeW3CFRPhu7XcxnJLe8gaKFE1wq88TzYBMt4zz2D+ewekyZbUgZhPueZnCwCYAIkzvuP2mrj
1I0jjbeub379O2k14SEMDq+HvTZw998KbhZM2UMQ/yjc3D70BdyPdoO+DVU3yS7QqbCiPpPK5BJu
Mo7cw0bLteI62qVFsaXcEMPxbk5dZLuMrfoxtcnL+fz8d7xDSM5lUClAeDheIWXO1m4QyI/NGFmo
DHXycx4/lCUb0Emu96Ftw3DX6ijCh55TX4dgSr44cfmuuulZLvilR3GP2jpwJqJc2tK0kFzXGkPf
Ne4o78BKo2SeqfFaMaxir5isBrh7emV0BZlp9qVULa9VuTS/23nypAzIBFWZLCNbI607I8x/cMq7
+DwL372WT9j5UQZFU9DsyqG+2PyUtpFqd9vesIebbNneCg5o9U0mQamaSfgjNc9ksoCO82O+mX1t
vVs+PKdFq1SPJJiaTRHXGViXEmw0YSz2XNUtq/RmmVZW9K3I+qWflfF32S8RQUiD+MUEGrhpoT45
jqMGS4sBltd3OoWc/nBWa91+th1H4ZG9IcpVfA18g/JOWy4Ort5Z4Am774oX8aC0LaD4RmUChG/C
I1TE4ZrIzXBJHDNftIbxLVRy75lSxGGnQJy6hfTUeeGMDlVk6v0JjQUAwjQZHodE7yj7KeVNmbbN
G7yoB+ERmDWI8YL4nNpV2bbpq51sefEeTghzr5B/OPF/GZH6q80r1BPOKoDIf930BN0HNRhOKWHf
RR847rOh64SDyv4wYU86DYbgogct2NfxOQCoR0VNWa9LA5lqj7/lykT/cs/LRXptwtFf2K1N+nuy
Vo2N4oyhP8sy5KMkHtgU1bxISyAVmt52+6Yhej3aSvruxNb3DqTprXBC/ZZp/l+ItacUQDuLHBz1
kjo+GBYc2dwjIjVs+zZKHz11ilxnTfWnCXlWEjTKd0453ws5sF4KqJ/WihK920OZr8h7OrdkasAs
w6RK7mjnmpIqwe9RKauxBLPku6VzE46OYwLND0liz2O51JtEf3mwTKsIt5i40s2+r31fLDYR12mu
fdsRbJY8f21neXqWvAoBgjGG+KnV4hOoiz8sAJPnQDPWmV89QUEdLNVRPY2Vc9QT4riWYyvnHFH3
5Tj4ysqo637nxJW6R4dkuOZTE+zSgZALKINgl3tOsNLNRn0zB/j0y77/QTHc6Hec2KG1eimJty+q
2snWHQRJPC5jbzyQQVj6umQgFJVrO3kAxBYXpkKsxrN2biSlS77y/F6V+IvvqNDA2IjAaHI+nEaK
VZeJRjo6NLV+1RkREXp5sCipa5p2EdXNE2RByU6MzQ1VYb9cKlvt1p3VaQt2I2edVMGbXXWEYSw9
eJ3YKFdtYmi3yPGdjU9xtpsYWzJS44kCo3TnGSjedGoB409Qn7tSS55gVGBfjcoe2Cu934sxJQH6
ArsscFDJvnEUsL4rKmGocZIjsx89jV0yahNfZUkaDr6ejQfw2Px1XDIYAUX9pwbsERvB6ItUkXbo
KMJdtxAw75Kitx9k5D1lS2059KA0T90rsdKAM44fNMvYS4ITmOF0H4wELGxgHqvCGtWV5jsu5C7d
o0c03DFMUvhjKJnnGoSiS73ag5R52QN76anaGdmI0WTX5IHefTERAkCO3GeTF9flCypfBNEj/Znv
jwlGZwnDe3qzm0mnt3mxKEa+EflM7k1BXnpVwBC2HiYvYQiLyr3U+Z+ig9CpvCZhGq0sqxxvMEw5
C02pe7Is2ni7j8mGuVVjWwf/ioswcFrQrwYQyWkk78JoKRsIuNdSU556xypOTRP/vIqhWoChGxpG
SK8BKQuf+yVPIr5XsdxuYt6E59JA3VeSjRzRZ8elqpKGr4Gzb2qL+H06no3S5AWQhA91IUX8/Hks
soO1UISFoRthE0pISsN6EGO1nRForKAtDW2VY1LlkqQjqgvqbzvKabrKiuHSQAd0k2E2WGqu7z34
fOotobmYbGEHa7433mzARCd+dFWnrOAV1HlNu/rRydVkW4f6e+u30dlv/yIIXl7iZsg3ju3CFhOg
QFS5kG6KKziVockRl3NTW5e+6AdCp8iP9KZsIjRhwVctxe8uHCd/GMhbLAxdql953ivLOnS9p8Iu
UWoLS/dqynwpggjSniA6mg3avGpj8GqZuqLpIPWgCtLJ+mwhTGpP3DrtVlIXqzetegwEOZNsxsjz
8Ae+czfJhOP2VIWRvhgpKuHUq06hPgTcBMGSaApfYVvgm81G8WTtTuBU1g1ipL0Kv9BE4ST8OnSt
4Is2T1EGj0AeevGqsRT9UAfU6zuAuZ4V36weOU4v5D7JnmF+XAOTlB6mjbrbVMqbFjvFqUwC9941
8iRZhkMXbiBwQWMlbXtpjXiptI2B6T5WevYnpRNgxNKuO/BbCxYdmaoHI4vAyznxuDUcF8BVKb36
aFs9dkOy1JuyevaGoXzOEvuWQyZ8yT2pfHa0zli2w9DwhKVr24q7JUURrtzavRhZ3p3bfHAvKWLr
8HOGb14SlvtA9nMKN7zozYyITRKHDHbCGlFHDUaeVJmwuhLCVWkkPcm2Lj/y/tiJ4d5q01PsZyCb
OGgCkBx9yBvIYBpaFa+ohzBfjDiCwFuFO5yKKvMlqYh9AzSTV/bUNQZZ2eYZr3cpsoyXhColIKFK
vBZzVaf1tjB8N+v73AbkMG97DYZfnNnhVZtsdD140lgqavsA0nbqv0RXRaRyDTO/vBHOaQcmXYd2
9G6VvSgldOPn2/vcvndXEP7IW+GsUUyxKn3bvVtjs2pWFmX2O+EsBx2gp3ZKw4r7jr601Os62oIb
3RmW015bb7A2STDmJzs6ZkTonlH7ahW5e54qaZ6Tsn8lP+ecM5gFdjA8wK6v9d21qeM9Je3O0dIk
2FjEWK18LUYqs+5DrdZFFx2kgivnagB1aaofyY4c7A61aeGflkG84vwcIF+OuomVdmzxAvLEchgj
W0fuIlH6P9PcaL/mua+iaqsZV+rSw10Ab1RNOuzWGNFLIyMVZjqpeiBm3i5Dp/feSkLHGw2eg42w
KhWyH3URoy4yWTMdSF+VtTcvsLXX5mtVJN5O9TNIyzvCdmFilqtKKsotyGXeW7Y3DgcHmQpjHRrW
r8t4utSVpFCXHxw+XOqJkm+iqdrLMx7dofNeTf55FC0PKwkaoFeNb9uDGyNENPUko9OvoTc8il44
ptmlAJ0nemCsjJOGQs8i6Av/dSwhebL7Hr7zaVUEOrXNxK61Ck1Juw6u/LPRpb0lURA4D7Phzw+x
C5hycprHYx3ORX8IzOUnQ+aF8qJwk2E7OwsX4hGcdUy45n/fzm05MBqlorwgTLChvnt4t0fTXY21
050GJZXPskq4q1EBDoackf0BsolgUhQSTTHJComrWDMmHgyEYUcLRSExpvy+irMpydwiT/vJIJyF
FdZeRD+mlcU0NH89eBQgsliPgKjvq1bEloE9kZRqFiCZV9EwpoesCn421AamByLf6UFczYbZbzZ8
8vsvXOblgZtBeC/Wn+eJ7uwz3+m/cPm01Dz3Hz/lP95t/gSzy6flK0/69fH/8U7zMrPLp2Vml//t
7/GPy/z7O4lp4u+htAP6jn7wKIbmjzF3//EW/+gyGz79yf/3peZ/xqel/u6TfnL5u7t9Gvv/+En/
cal//0ltzy/ZHWoZor0DW7tg+hmK5t/0P5iiymdWSo7wPuveb/Qo+9i/T/gw7W/vIAbFUvdV/pP/
fNf5U8sdKjTr2fJxpf+03n+6P4cZjt6dHrI7n+94X/Xz3+Hj6P/rfe93/PgvEXevh/FmFF27mf+1
86f6NDZ3P3/Qf5wiDB8++ryEsMTTf/mnMWH4L8b+C5f/fSnbKaHOLbWvg2QEx0ZqJ4ZEwGbH+Hcj
LNEwFAdVu4lhMSKuKjFh9jXdMjwKc0kCae/EyLJpnfeYaY2+9CqD2qrakB6yIIZAre6fOQVDZDv1
4pxKwhZ8y2QXc8ZANw9k338Iuxh3oY3ajCWMWGJMNFUPW4apAwKrIds/QRd9hdQjvha2FO8720Hw
uaPO1zajewNDZXzOUxhIJy8tilCSE9bAkoCzefLpPibMaqR/R46OgIjVQC0jlsr9njrnXJXXd0cX
VslVZQQ2PMkG9SXZiMQOJ3twmIipbvwILVcbvhuD+vmuuOoEDcjbh1T3TN0hsIprocTFVVEabevp
BdB1MbvVqmHnFiAbPsy2egdgctq8Qy7IimJiZebIEhn1w7yWWNrvtIqgpne8rxckRXMK0xha3l+3
FG5p3/VnlY3F3U0fOaJZ6s6Ry54iZvSCvEnA/i5WDz0yJeofhOsbmfqrcei2Bv9vR0C53smvJi17
IXgvBsX02VyAE3EkRz8kXQOqws4Lik5TmD4ya58Xln/vOErggIaZxnPguBBcEby6zxCD8zTJGqMl
SY96/WHO3bMaynUXJ+nx88RRGfx9E0oPn9YSXSMzz0S6jb1SGWjVxwitjXLnXYIm8S7iCrCXh25r
6W1dILPktbHOBuHXOWN0HqksnVznmfeFtPbRtqOYuGmgH0QzEjo7oIysH8QVgmnDPpGShTAmv91E
19V1L6XghBkZxdGIzUqL1pGBl6E25kM81hTqpZUk5SJGW8Tk1mBqtaUw3K2Tu7jqRpmQt+qdhO/s
QcbJ3Eg5lB7gNX76ztZI8Z8QGVIJ2P6LURszfaer9td53ARPqMKnlWZkeVx5KyzzzRw0DEHVdVCY
TJ/69+e6d1NK9Sg1tNfiQxiWp/IXKRMYtmz3IBojy1Csv7fzaBeZjGbUhBAtnHwTkC0IXw8o341x
J31YQC9yAgZxF0v3Be+TPixY9nC9SjA0rFSY0Y/61IRh3hxFV1zNzacx6vSgjeUgtpwN/9MC87T7
PdTe2WRQ26UcfMr+lHBERAFZTW6+7Ke30Eg5XYUISggD8bYIDWpEajM40uGltQ+UAozpQvTBnv4c
tAz/GaEFeSPGQY85h3nG7FsKYUuxjJg7+3zq5l5PNYZT70c5epealExGbsDkpofRUwBAbW9bBA1k
vmFvRavthAcFXA5nbse/WROMPc2orsvNuARSZUHhP8FJ2glO0gyAevIxN0k9TpdisJ4s4mr2EVOq
fmP1yDfNrmL477qBgKjMK8XyeHHbengYHeOm10n3XHDgPuS6Wq6HMk6/erpBSgmAFaGzAZK3KQUl
R+6XwgC4GhXQr4V17S6ketgLsLFAIYumrmx3aRhOsp7HBGw5papunYDfWgrDHZ7sOm641Wy++h9A
z17dRnuYF7/dHRuquKsAxlwErtyDUzjOgZOrni7EpWjgYjeAEFRo2t9HS8q0+0I1NtrsCdmpiwzn
5EPeCJnYqRHT7aIOAFgSFsjNqocxNIVQXR69GtmcoLqUObzP4ko0+ZBQbZvqoDrc6qch+n0Ve4Ac
YHLWt8JZ1jTkoCMfTtTaqq59Gr+GrmNBPhwDOZVi1LB+j4Wksq7C4E9X/zSe9Olr/HuNqH0mbJmf
aiePznD/R+emtFaVQ+gTUq+fQ8I4Ft0InqRS8j0ktCd5tIduIXyqDgQ1eU+U4VMnoj5wWitp6yrY
isu4Mb7bgZptP4yJW4U/cnjBT+JaImTa91oC0Z3uHJKp6U0FRsq5L67QCUaXxKx2n8el1jn83Vhv
+O5BQvQJTffJ576qGBV9MUc07UDpyVJYimKQd2SVW8NUbrru56818WZfBshuxr7+QtSjNpv81fNS
GQX1Dly/nL0qSMhfjc58EjPC3I7PZc6mMdeJ1poNDxqdkuujn/ruUVwlXf7H4NnmRvS6oXCPXgUk
mZf7L5fw99U81gEzRQ3HRX1iss6G+2Sxjljx0+1qqnVWaZ1MnPj/Mm92/jk3kFGhsIKN7AfZthh1
70GSS1joCyf+QvTu3eh15Qfi2o6hk/q1vfAptqL63WkjUjph6z/6oc0z0wilo1mb8fHTOg2kX0e/
K+G74Ut8UuTK2ndSTvwJ2oFFjXjOKUBeYjg3sAJu2hDoJVgEs3wLI8lZx7B1LSwC5SRMk2gN71hz
aqaGZN3HZh4TLoqsrKPSlvbzuJgwd4WbGEtzzdyNkYNW278saeTjxzvM87WQdESdJDfXMCiEihF3
sGAl34puLOfJxUniCwDbKF82KWoWno/alq/V8Hz1KHApWtAvINXqSJz/S5Oh14veqwG390KYwk6B
x1pc5l6CCmxBWO3DoFtk5lrrQlBuTtVsAiVSppID/0k0jQ6BBFr3D6LnFRDgzB7d5NbhEVjjLw92
TeAfFeS9lSKtVqQdvXMpSJKKOmbb7mb9WgxCnemfB0GIFE9OYvCffeY5s0810S4JQxhq3k4GqweD
UK69wBUSuUr+0lYo0f3q/LIUUiFtUqqjKIaZnnual61DqByW4jE4PxWzAWZcfzLMY/fn6GTQB5dA
+vRYFc281GyYp81Lzc4Zgk3Ea5OU53o9PlHr3y9sMu6HMUIvRk0sj1wrJUWx5TbFsoKrxG/Ux34y
QoxhLxsFZLbw7SXTOAbVpHebaW1BWiU42qUaXIU1yPkfSRNozEXXIjN/0b1+EhKSn8ph3VIfU4Gk
A7IwyZ3bmbZyG9PfpwhdnBILFi7ORHm0EpcQiw/Vws5AdlKGWm7qIe2rRaHJP13v9nmquOqCiYNh
4KwiukTZqWbqAeFFUvZoU218cWtNeR5Iei61yNL3oKaUZ7+0bNjuPRfF6RyqMFnvluaUfTWQfN0b
WvFnMco2x9VpDEyjBwisKffjlIcVje4p+j6o6z9Fr5lytsI3oHTnb32nNefp4kqsq2RSuYelKz72
UVdQv85+SuHvcNVLADNirFWo1qwd19mORSZdcup010PdojbXe/myrxLlMIomrgA4ZZOc4EIMfDBN
9gyuj4OXtD+vhMsHby0KvqSZXO5A75QHVYZY8rfaoJAcFN0syI6kRfyjGKqFKmGVkDoz5XSi4P+l
TyicS5PKOalXgR4jWfhhRq/kR8O0vON9AWGZVxlT6K5Xvz/G0FYkykcvXhpB/p1Uav5EBqp4kqT4
D3L97Umfeops9Dsgk0hZTR55oRZPWdCsoD4fb8JfKUaEiHtKpIRRMszqQa0J3U/TxSTXjRUAR2h9
329gx8k5SQ1q+7U8X3aEShZm5GRH4QyKYNyrA5VC4v4oRMj7wSYtCXG11WpvTVVqZ0sCHiu6lgep
8lhTlSO6hWNVC1mPrHPqSfLbzzltq2hnKYFn3C0c7W2ewyY2vKkqan8+nJaBFX9LwOBcs6khhalc
fTUx1v2kXjqPCUOiZ+gkRKj8iK5ohIuvB0896MTDPCSuqBntTYIz8zrkDu2Dm0L5+/t2d0+VWnO3
d8C6Th9BNL2lw6Ce+tvOleqjwdkzh21ArY9qX+7Mzht2tlLX0NMyFKumRtWK6ItLMXqfI6abFUlE
oLhFtfZH8M9Nnf3NhEym5jMKpJ3ScIQQTdx6LqirqV/JknofpNzlp3l2/DQ2TjMas3F+ThZmXYvV
rQIu//PSRuzYCdqe/7JsTunLThvgb4QXJF5FKM58URqn402rI9JpetkXxX6BFNl6heisPFchkoFW
H6dfUnfI17ZHeTlHbIieS3lhZbKyciZkPlLQ6dGYkJviSoyNANGBFU8W0WS/r0QXmjTMjhFDy9NN
L96s28vsmU/wUjc3xU/am6oY7qrrULyZx0y58M5V7m7FUEfRJSyzE6WrNtj9XgyKJoQYYmsC6Jh4
rpvb3JhPYe1mN9CZFkdFgyLOrCodAPfcsAhN+ZwYoNkoMV2F0GvucrLVr03FX6gKDSSHJyVm6n+p
rnab+qhP3a4GwUqFsHsSVtP2v3aDM1zEVBCw16RUi5uw2Xq+bXQzfhS2QKoXIHDiZ8VRnJcO+WEY
XhxTeg5gyrsB2KyOmQsideolUBvcrxonRoRAaau9MPSGV96c0m52MGmxH5mcZ0PjS3tZ0RsEL3AT
vuDYvE3jAUyZfcXqiMgVke/fZ99tfgkcQ9KUteR57sbpfHgIYi+7ikY2kIYaawR0RRdB45+GKq+g
ppFlbzM7p5MVyYlu5Uc51HO/V4l6Jbt6vuqsuyZHIOi3QcwwOqJ2oWRBxqRLGxOm7T33MfepgmrM
RE4pT1J7yHKhFSxoLef+bEa4EMJL0R/quthVOsXLfjRuM/L/sDx57c3VVL5v05UWnUM0AK/klH+O
hG7WTVEf/oOEw2Ro87qkggEwKdHitSvF1OmHDjyBENDuO6e2bsPUUJWLCnBJdCxWAuvmJ4Z1MxTX
2tZ9ZC3mMV2RlBMVTkcxJKYKX2hsFnWq+mAUWU0YFc8L7reZx+bbOC0Vxy3cNEfHt9o9hdkUp8f5
+Gay5V4lekM8curasFFRtq8/9K1UPUW6tfVkdQRr0nrHGITpMhBd3YrWceNVO2ENiv5r6E6petA5
LwXfXuEFtwrE9xwIEa1g6aJS0g20HMFWdMewAEWp+M5ZdJUSxKeUvqWa31x4U8X3SeizwDwMU8Na
eOWaIS3KEjy/6KYWhJ0qgtt6wdfWzDOUFqAD2le5lW556GpPJBt4kkMk8FdgQr8NIf43OAL7pYXU
9/WTrw5PAFos+KYxKu9sH1cU7zqrWh61Yzs14ko0AVJUR6vw3QIOdCwScKtFq0U1hJt0o7J61Jw6
fOui2gmf87Sp33K5+a40wca2iuIh72T1mbJ04JFlxU4x8LXnHrTHyjM6dyusgc55H9USDQAGzgPK
38fIBSYVTc4lMcQbJeAHYRTzw+LP2OY0JEb8PHz3SgmG68lbyiH2HyGWlw1DXsX81B5FQ/GVbPiP
ndHmjxRzjsSSZMguRzeKl3bMcTXVdYhRf/vXbbbVfMO4qJb63U0QJOs7Jb52GU9KtpOw44NGvDZT
Iwx9mpp7r09earP4NTRNSFM7P5dmuLz7N6Z3CP3x3AiK0hqpRHE1N/XfjA2J8Z/85mlhyPc/k+p+
pcdeBFbahXFn0KkYnmpK/4+082hym4fW9C9iFQnmrbLUCp3d7Q3L7cCcM3/9PIRsy/b97sxivEAR
B0GyWiKBgzeIOhAoBlHIq67gnGQh6/80gwUNd0HoHWX8OoMc8k+/W+yPPgVaHRt+D981tRQsMnjh
P17pNkRe/ftuMoPc0MCybvG/dpQz3uaW/fRAMdcldxWUuvEIWPYOqtJ8a+NiY87a0rKOtEkIeBhA
4y3WDzoeRn/U54GtDMoxt6Jy7OhQFL3yAHDQfOrq7KuSm/1R1ki5ig17M3PV8b15wjhkF8b5cMxa
R8MlB6bGaEUCf9NMXGRMFl1mInLpiHwtq4Uygd0tu2lPzpbvf1sFr6ChQxhqWotXYJ5tDHdsT3Fc
u/BUQv+gzMqvTEriGoBQMFU+GHQ/uMgrU/C0ybUWdeS/G3AZI3vsmZ9k3JrSCBmKuYuW/Kh7DpLk
HGnuBIhDDILbnGLhIAs39Dqx7FuNHBh4XxOMSe7SJsnv7CF6CA0z3Ua/QzJeWlVQLP69HGC0E+WD
vo6W7X90+j2bjP3vUxae+2v2pvC3gJyctda72alOwg6hBZgGBRyTRWh1wfcMmCckoh/8Zd50tLE+
TVrerDzNSS55jpIg4n5iN1qldrFYo62sri2WUPddDh+a6RgYwLM3VQCVyK7tYfVHUF7KQvcBqHeN
7gHXArMNtltMx1vziMR9u2g9PiZ8k7/cGkLkYXFiw/NSTfNHnrbcjpEjlTWYEsZdnU/vsiaLvjDm
L01frUU95o8ypoYIwVSTw4+bkIdpNke14Vq2GXMI+ROxnRS9Xd5iado4i7EDrH6baIg/PA3v8uus
0MEO0OSihZxDxjIXbVkvGaKNjLE4CpelCJsdOiOXvBix+MBm6bFzreGEbuYpmmvQ5MvHERX+DaJp
00pWZUEO/ztA+YjsJN2S2nQvHifecpAMNbCttygbdMsKYWh4wsMIkszDmnEoxCUBHW8UU3hu5pqM
i8Ay7lg7HGTNUScDlKIYy62N5dZCBq9FrYqLJ7AK01uU5mQs6FX9bIzRok6raG25SnkOC5PTWaR5
d4mt6Wf+3w6AZ1t76SwOUNTOCL6NhbZMEUOBzN0Zh8wI8y9BCXHVQZUKsSNFWcdTaR8NFEoObq0a
W5ukyH0HH3KFBIv6yczDD064qh92tMVcw99wn6m2Nuy5+9YV1jIvfWJW27qLnLX5sW3cg2y1lBjF
+2TkK47XqLVTwULuEyxuVrqorCO0+e9IKgQQKDQsvefQrbjFLDTad7nawjenh4wrw1h0aFn/GgZ3
8/9nuv96VRmb3yH7LrH2QcpX8/FlMxftfPIqC8hGqwjA7/EWkj18MWqbVqj8Qee+MibHyypE0Efw
7uZe1m7zwpLJ0ALZ5tClDi2w8tlmOX0uuwSyqP0ZKXv3UnPCNtZZucuFGp6zvoH9a+rWA9kgnKdc
D3ElfEgX2GKYnwezfepjvsHKUC/NnjNOdvl3V33VP6RW5eXopmJdlQZUmVlZVegmhbyaC9llmtVZ
2zlrHU7pj0kU44U7GjLXQ9B9QFY5lNAqP/mIG23hl3e7MvQibGzUD5Pv2C5zbOR3cjt/HSAgbV1n
GteyWg9Nt8aoKdvKqjf10Uo19Wgvq66Yxa8wurgbuVW++ihZQTdCeqtUVeWE/zO45gz5tVJ1xMug
ZT+r1ZxvlVU3dj2kyLqfrbKa3hfGevTV7900uSi/WiquQ4kB1rfJYtDRPTsYS8OxhP/MKlU69SRr
skiDdBayEN+jXs/S9WDvhUWin7SBDh1G1a9X82IdYkzZcwgE0Uw2GFg5XFv5qRlQlObeSWWKdSF6
tGd/N7ulqRcrOeN1Wpi1izHzlHWDVcyyS7r8YMYpPoHYxa4m8OcfqokIg3A/K1NvrictCA9t5WRP
eqx/YOKZbgvfB6fT+vlJFo43NMfeucjKWJdlu7o16oqvLc0Ki6WhLfsdgoavXlZCJnQrsXCFrZyb
2c6D0wD/kiWoLZma/ke8KDPfWPQO4pNh05I3oJschQJtt586nC45vojeW4FGpWU6X5re50EXF+jE
d/Ay2r7p0IzI3S/IBH3Riq56MvQxPrBU0tZIPPdfYpbHie5+McjUcVJbqGBhhfZoTM53OY59AI9v
aCcPA4xHziNag+duaF4lydThydAs7TOMUrw7gYjs5dZRFilbocAueEzNu0lZhCW0T7UpMQjPbAel
4WKyT4VrreQm1Ilmu7bMX2peo17qOFIvee29V6Gv7WVNFrIxir1FDzfudIvrQhjHttCnEqtKtXZf
rUmfTpYXjotOxVRwQmRu7YrB2cpqqpgvuDovcWPFE2OWrTG0KOBTE8FRXsVTkNYLeen7Tlwvbk2q
07BpqTSQ4Qz5o+PPS2z/FkZjuag5TsMxmgufLEy2qvT+zc6tdisbcN/ysD4J80+WkcE4LKqg5m/d
gx6Sl8EsuxPNphbzA+d4LWYln2v92qnlyE3D6wtBrBkzLVHRNXpuGtvPwMZjFF1qhVQxfq6T2DWz
d08NXJ6neqTvmlSIF7XzfrYifRcdxh5nONYJzgIunf8x2fG2igzjBwr7+zpqSfIh0sD20dtbtZ3f
y0R+IsppofpZcCervhYE61JFmsyJ7Zd6mPBHiqfPlucUm6QZSD66dvU2x/NSjJ+hzCLLyleY451l
CULqkKtD+GY4MWLGbv3cjqhApmH3XYadtA+2hT4szHRnsUc7oNyNUvN8ZfxdHZWhn+0Lab5eXrsH
wK2Mkgfnbcw/81x7a9gLZIvbnL5rP9jwILZVZvdHxc97DO+xsjJ77dLiZW5g5ktMtsbq0B9lkVfZ
szL49jauI8s7yRjSIGBoRFEt5AhAJiHp6XnWMpvincb5T4H5K17fcJKKpN/Ev8lc/AHtaSFbzTB6
z2u13U2NJmA1zCPCoOEkqLBCWHq/O0oWGJI+1tFsvrCNjWOkLTsWNAWLkKrhEGOrVLG1KdAzQ+1a
aOrK95sfRUEqX0lKfALhvcCs+GX2zv8V2/e2/9kgDeCvsVkh458GJ7Mhv96mkb2lS/zVOP7v+f9r
mlvsah//e0RmoqzCb5d3E87vJpztoWXv23s1A/HoG5m+0JS6XJFjyO9xGMvu7fkKfAEEJusiI7KY
Alzkqt6y/+jqJs3Ifmh3HfJ7hqEcU25jXruWI+XUhqN255FclgwZaRfgeGEapJHDINpMkem7C43n
6qlw+rUmq3JcWiQ5x5mqsVF9aOPQ/Lr2GIIIvb0z+erwfW1u+FO3vTW4Tdvd1SQdr2/DUGcTMGWF
kbP9kJJ2al0SpcIsnYekdo0TuJeDbFPnUN7bCHXoI6ujuSobmqLt15XmuisRsQ5fsoPzFjXtsxu0
fe3DH/ViId5zlLNwV2gfcLO5tYP9a/aoupxsJ945YWueGzNPeL6mHIFqtQpEB2WDczQZ5lleOX6l
7/2mebr2k0P8PvmWedm0S/mnk/hmhM1PYtfUeriw5lllv9tUMy50tIv8cH1JDa2MEFbWqp9PG/uu
9aHgFcVOVvE6xwjYhIokq06K1EfVPmEY4NzhL2Ffi3+qskHGOjcKN8UYRCgPgv3Toz5Z4G9TPeAx
Vz2EEWdeRiFgfPVjxcdMAc/kz5jszFOwWSU9ah2yKvvJsU3E2sMgwXwd+898dR0026KGi63hen5n
5N3Pwm3tu55FAxR4lJYgU/1qmC3LS4wQkOM0ozqvNmiXozmBzGCplf5KzvDHpZxW9pYtHgoi/NCw
RppUzKMw38QSs0jxhG8i9whlmiRbb+KWXvSpurrWYaE6x2uv0fVRsLCCjz9aTDkon8ejes72G54g
y/CE9YpRecrdBKuQ9RWFGRcKNsyc+iHoI7RDPBThMYTnivq8fojSZOOT49xFNrSqqSjNA2e21s43
+kdF72FZo4q80Keu2bCBGj/HZBHgn45vwkcTgW9Is6mS7hrPrGq6xvtU/BGX/SfgJNf+RtIqJ1wV
kWQZkE/qy/Jcze66Scz2uCnG8DDN3ru9jbWAhoHepp7NdnU2Ljt+UcFKtvpIsx49K+YBNY8ts9G6
V5Vw1859sT5wDo7vvSJhOj3UVqcv6grVHrTgFih26190rcUew+9C5MwNKK6iFoskcuNzFxbJE45L
lxI18XdgVtnG8msFgTW3eHdhMpM/KiD74dHOgT+uiekJimZ1QroaA6ESE6Deqa4h3woQKOIkvzpp
lUIuLQWeLTvLPrJBVmVR2PDYPR9HHj+YNV9uHeWVMks65/3X2/QyLCe5xfog/Nza78mQT5tKr31t
U04WpEWF7doKI9JyyX20Zhk1N5lRXB6HVucunrpRsiGBlC7+xyiwVNFBd/XVdRI537WTEXefNEWv
dpEehedbYeWgqPtxeYsgjxSe0bHEK2EKzWdSkv5exm5d5FVdONPS0zRldWvQRodhZE39rdml8A7n
F7sG5WVegexAvWmlJ8af70K3ScW1RfvFqeL+4Htjd3BV+2chY7IqG27VP7pEpZIs/qj/nkaZPGPp
Yau1lK23wf/rXPb8wkpTBDs8m/dIe0zbcLCDRTVLaDUo+yMF4BSrQnH1uyxwkd6SUlsxolGnmPOd
5WiGJHu9alRxuWSMmvNHGSdxJ7sgPxCirIQBk+8X5m5IbJvVY6W89722hzmHGrcaDBx+zdrlc7yc
yu96jFJHGAXiXDTGoQ7aTa90h6g2848gdWqekrryEkZGuRpqpb+3VDPc2mhr3DlYTyzbZCywthOI
3zfNl7S2oxe9UOz7HCJxhtzbi8d5zHPuH2STLJB+ANKs1vgG0pt1xUNdGws8d7+WeAU/x5jb4lyh
LGXNxMzo2R74kTlxuxpZa69sfWEpYfzkB233FA9ptHJSr9kmqdU9qXkenbgDvspGWQy+99lhtXiU
NeQ47G1twN2MVNJCSyZz5slcO/g52VQn7ZZE8GlsGw78ppw1zCzi06GQDeZkrqJ8srYbsS0T1IDC
UOl5CP9y4pHGOFpSI+xsgi+9NZR18QWbFxuJZbIAShpwyjTE9xJpBcrwUjZpfC9BWHNbPddkmx9F
l1pN1MXYsOqwzabguDBWF2D1i0c7N/JH1tKQJbIp28qqbNBzeMJRZJ9lqDa76iga+/nafx7kK7Nd
qs+mJxm7KFn2RvMRuX57J7twkuFcmsla3gZoarNUuUkea81YxDaL4LgIOxOp4MTbu6lyiSpfYbME
8POMZVl3Tvua8381gbTiIeW51W04C3gUVVvP03Q+RK9elmbAEdn8ME1EjLZxhO3PXJOFbMznHrdu
//fY2OHCN9SQe2NlnVsO6oTsqR3kRtZjlDp3wxCUFzxKyiUurenX/3ePlDmGv+dotRJPEj33d2Wc
NE/1qLx5vMdjPteqrA12Uz9oS0Ux6ic9H5qnOHkTRhI/yoiJxwhOhma/kW3h6NpnY0Anya+bhyQS
wJpL48zeFGfutOs+eh7ZgalEb43t6pva1cN9HqvWueVmYPWOd1fxmKug63I5TK6ydgoAkLi+O8hh
TpgtTY14GZFeulZFZ4mXtvPsP6q3Vtn5v8Zm5P52aN6mk2iOsnBVlA946OZIOf6KySu1RfGCVLDH
KUg2AzzHFFtdFWXJ1TXYzmjSqLV3qaVPh6lAHVuKsrc4IPFMsp87bVJ2Y9cC1c9E+K6W+hLRz+AD
4CRwsNB5EXaERWIBBifuEHbVw7PZK+IcoyADuYmfyTH1i/W10Yoae2/56qcASgNHPd5rXnOLcK2p
3XYY2Kxyd9Kfy8Co7zj+6BayKhAHvw/rGJOeSmmXuv5JE0X7JNsqBBZipQzOsqYVY7F0zlPIrfwe
DRznboyVeAkAAHuR0RpPXTnpS+yWgg9btzeslMxPXVOgKiJQyLJGJXgtZkOwuYMcGc/GJNWAopMc
ydI6/JhKc5ONtvmp7/ti28XrwEf6ewIxXH0LS3wOx0ZTXq2u/6jMKr7Imipe67ZRX4DUtQ8crp2S
JMf5u/U4yRSJv5RVkfXpFiiwtQan95bCj9+XlZVNoOyVaVeAuhYJqSF1LsxgQHPq99WQopTBZqDf
yAZZaEViXfvZCH7cIRq2vI1Pag5RsD9qaxQgvGBjZ7hoDU7Lzrga47PbqoI7ZqI9otTcL+OidvjQ
J39R25WBHJc+LAvHz++stiyd62XqFfmd5pikoO0CRUbla6ujzk3CLcdqaAAGPvKUyvUeW5y26Z+E
N3uGp0b0NfG8JanH9kcadfcGYlTv08gPxtDL4r5x42LX9RY5Qi0VZz0q1VWgcWCPZvcXOWh09gUq
RN9ts08XgZpVL1mH0Xple92i8nEA53ywQ1GU31w9GtWuia32mZzE7DUGtl22Vnngc8hjfJWNdu67
T3wwskkW2J2/4t/tnmRNt2pnqTs9iLN5aqSL/3Mu2Vgqk/P3XCGGJ4auuSdjHiznisSzn6TGSqbd
OrNNcDcKm5/5uj/q3aA4y7RFcaie19aNQPtjQg9mh1aE+Zxokb0puyxeN/Nau4sqpG8V7sDdXFUH
fTqTtebcl5qiFeJpiB/kQDmZbRZ7HDx6nnm0YxBUwtZK3Ts5l6oP//1K/kvhhzx6dN+7Fr5oTKCj
QRxu2q5uF7LF7cqfzbJ67aOmtbYH57G/DY4KdhY++kELbdS5jVZg3O6EhbcZMFbOAhPur3PIm2XP
1UAbQ2yZuLz2TkPAtYoWHSYk8lRHezfVAJhx03qb3s/Hz/qE9tSvcFuitCvDqv2f4b96y0myOaf3
V28ZDqLom5ujbTyoTrdj52RuY9Ton43R/9pZ1fgVkZBHBQGiV0NEJuQqU4W5WbH9aadpIXsgs7jp
Oxc2pxcUANrbT3qkDUudE/gTq0mUV1WlyU+y3oIb72ddKLf/ytIa267c+JH5xRlfGee9FxVuRyVZ
bZt86rZCZ+dg161y7DpXrKe8r58RNu/RlauHr3mlzzce4weJoS2qw4s2c6fnDmAL+iQqGK/5UzMr
4B7/EcdD7dQYhfrsO2jB9qb5s3+IUdSt/y0+9+/m/p5Nfzm//ED/7n97XZ95/ukv38/f/f9jfvn+
q/n922O+HjhAedZd83ugt/3XFhXoKU7wh3EWMOlCBP/NbEfKQHzFP/3bEBn2AZHbjgWnae5QD4o2
nuONn9FrQ4qtUj7ZAs3jco5jXjx+RpFnafyOZxDtrvG5/+QY3Y7sSbNIMVy5q424qhZJqlh3Za/b
GHh0YiVbZCEbblV5VdU6Q/5pzqP20AbDsLvFR603yZQF6hO2zugypbF4L7r6xeFU9Qd6u6liozfW
Tv1uwKNmOSDDskkKt0LajwI/reooq/JKFkrPcblvNDVKKDySFChaxdScZBEXbnMK50JWPXMwl0i8
NKtbrDJa8tiy7itTtNENf1rIcXKIbBgLVGXhdFbI+9vqezfpWL1V/kvumOGx623tGh8jJE6GxMJO
U8WRhL2Bce565F/iJD2UdouLegKaa+tmGHej3a4cSfTCm7OhIk/6rH+XTU9DyPbGzdlu2eMT7iDT
k4N3AZTSDvPFOQbtZsTYlQVHaEHzs8Q95LbxqRlcJHCBZaB87Fbl0h8cGAWJOMtWK5x5VqDE1poe
TE8tQlzzbpjFZLPUVd19i4Lxk4Yu4Y8kvrdRMvQXlgU+Ypp5gsjqr9uEdYvIgR10avtZwHDrtzjP
BWckoOYtpt5j5YsS17BT7QBkgIawm1oWB1kbSI1c5FV5qbtyuF4rPGNXpkj4zAaAQHD4YQ2lPtTz
EmbiqcqKId9W3ciSGUG9JYeTw8mEtpWhBYXSj959eHW+HIrRQO+2UNa+moaHWOunx9qMkJxFWG43
qKa7dpqg3jgDjrGa4g+vTTwLPjZZsBdRO7yOTqQt2ABm+DDQOpUxTxQM8Iw0HHApKXli/C4wgfxZ
ZX8UHRS3RI8eLaAzNKjupbbbJWsRTk0ijdtG7OOJM1fh2SN612WraND5L+n2rK6ZgyUmBb+2ilq8
FcrsIV7H7oUDt+rOAF2CN5TSwZcMgg2TN4uygR2ROY54kAWL+4uuakgZ+miXXePIDhhKcV+D3H7I
E4gpoZiQ3f41xAjLnrxh8HYLTYh07lSdhPZtGs5JMbbhyXgdWiNMuUymNltpHkbIFWCcUzwJ/RNS
/KWvNp9yU/hnBzHPhQyrscBBw7DeNFQtOe93Nliwg5uKSSiuFDHDldVsX8WVq6zaqGKPlGfGZuq0
9OLEfnYtUqxOMIZGAtsCinLOQVZuVR0fNrNux0vqdxbsG83+jETzpjD8/HveN295pQ2vhq32a0VE
9RGHt/6YN3m56kXbPHdl6q04Ig93tRZOr+QXgNH4FeSLXhtfA6f9rIA1gSZITfVN1jdp/2RkjfGs
gp3izzu9Zjjz3AeT+yg7lfNXBs6DtrBDlJZF1m4VdYg3pYF+H9yX4UXv3KPCc/eL5aCDqQ+Ac8IQ
10komejSDX3zpRyh0OV24jwMKIvd9Ro4gBGk9peS5Jvu2sUnlPeTnW/74bZuzOZ9PjKSHXDpRQN3
zLpD1QnxJMLytSXvuvXJBeyqWfi1cTXteUYcbeLKDg+Y/kKCRMxqidmX+BiUH6VQxm8ASrn7wRd/
DFw73OlFqO+c2lMfGh9tb4THpm/ghxDQUr5WvpOAu6nFvW9jW113NpazQB2yvI7u3FlBWhbeOKlH
sD/pZpyhFbfY9cpBZNpp+EJdW8y5Y6DxEdu6QdD+PQ+fjYURKvZqZZENB3+ySS3+eynrshCGMRxU
aCT/s5PaKCrHzn4/HMyoZBYAjAEYIaQSVEBmeqh1Z78KzYeiGrr7yP0SGTq26kkaZEd/9B5lm+02
5kNQdOquysCk9lAKomVsBsa6yy2NM6y57qMyu+TWnCP7RnfXQOOxcLZpicrfWAhtN1UcSUNmt1kH
a5z41BP4bwwsu/a+rkNg/2p/ljUEb9v7wnLIMGexWMuYLGY9BbwKtDNGJkwlY40n3lJNaQ7XHuab
SP0DGYoJLdEO7lYO1gLvmBn/WAr7gdP76JKoLiYzgfOQ6qX9kKVmc8BTO1zIqm8P4oKbIim8zpm+
1Fp/GARIF8WNp12jGMaGRYf6DgAR+VNlXw/KA5mn7mGwy/jgmMJd+J7/wyjieck3e1ibT1bJ2qTh
3GwxoKD8IuIoWdVeWfP6CUYAoARPds2CxbahrKtp5dy1gVpzYpt3F2+2K0AidnxqW1CCo6Gkb76P
bbNtI1RnWagLwPN+KLw6/sDFz190qYGxR4+kWuzUAjOICGiG3aXPyMXihdVG9kNL4m89DsAPoY1r
m6asYWMAPNhZmdDvOha9e7/jY3TU+R6hWs3OmPr4BP2bW5E1xBesFnkssgt4GGczk9IvpifszVTS
IxiyDbZjor0yaG/4J8QwDvlR2wjZNoFdfjPUcV9kswi/Z8IYbicsDtJgXFidZr9MFva4YVuxqfYr
GNIiXrm1X72BQMIZQs8RH9bt6q1IFuyF/LdRtfIjUiLJUvZKbDjfeuJgOzIPQvJl5SQZsqii7s5m
7VX8pq0KK9RSeXUCF1KkS3YiF92T6StLdTwG5rlLihDPmiE7CCyUvupF9s1Uzehd1YAvhpGDr6xm
ce6aJBNAWQupi9SvztKuRyDab1tOWegLta+7izPTyCSTVjJuwWJ2yOF3j85Mx5WhPvZRZ0k6cXCd
pHia4C4eMJnuFmUVd7sBTNwGeyT1EjdhiH6FdpY1kLIAU+YC5cJmG6NPzBPSN6J1qfdioRSp9Ygc
i1iMg+V97trygguE4y941FqzoC2vegqzGOZImYWbTM95UvZ6rACOSvB0FZENMaOxT6Sp9GnlQ7hi
ndger9Wy88SmMRFkcjiW5s8QRRsn1lT1oMY1PlvIjC4S4ZUnWaTz4U3FJz9cg3G2Q73GOMpGNTVQ
HyFHti5NzDwSB1RIY/jROdHTjaUgfT+CA+NnnBv3Uefq90HelWcIhqi6/grV81WDwqQ3jPbdLT7E
irG06q7YaGHsoxONYefuOh13RLA7o3mdSk6M5Wh7rKv+h1ZPaOsPQf49Pde903xXYrNdGE45PjnV
5PI/NfoDO1t31Tf5BysACxcNjpA7NQs4CYNiJ6u3hmuVw6vYrbPTP/HBaNVVhK72Sna7FXlOCsPI
7mXEcNLCWQ2j1i6F4WbrwTuowu8eZRE4fLSe6NS9rKJUrqH4ixLPUHePCt/CR2Qus63vOLjLz6Nk
DDVN2Ota5B5kv76B+BJP3uY6YO6WiyDb1JM3ruSovjK6x6pSX7EkzY8yNDh4zXZ1dJaDwO7luI0E
u4ITirPWk4gbNZwr9aonGYssP3dP8a74qb8xLN0/kFbWHrUJeVfZY7DrD7Jb6lOtOtW+Mut+4zV4
Bat5tK/zwtQxeRHeuWzg+7eueUSVBAlXvARWpjGLVGFNuEIGttqTt3TeLB4uYWEbr0GoRcceDNqy
8CznTQ9qboVqFbHLzs1X08P+JHWCZZODmNc0J97Xqa4dwaeF2yiK+kveNMUatVH1kWy9tTTqOnot
y1BDXyZFl94aPysYQnytu2hfxLrOs80Zt6E3efBKKNqAm7ObjYLdDdl4y0NYPxnfPTNxls3kTndl
3NkvYWKtg2Iijv7KVpvQTTUzfXjPBFnpDllXj0wELuQ6RyDz8DEHFhYUQ3Fpi6l68IL+ixxeOMJa
pSay7ILT6zhMTySb9b3rAjVvi6E767adrQPcdp/NUjOhsGbhl9rCPVpueap+H3a99QORgxfTivP3
MM/LpVpr4jEbRn8jZ+zZelxntNFtPStpj/nUYOXP5TCYQPu18IsZdCcRCzZRzJiBqvimceI1fp29
Z3QROO9WqPP36C39qKeB8RT0wDD6xH7vdaAsCuoDewMV6SfVT9hFIlAwFWqGoVd2RdH5mdHecedo
lxJFB6q1XY7Zh+eUIQZUnrOstErsfJdq3yWIJfU9rsnka8BQN8Y2VLAIl61DzA4tAJK9lK16Cand
hlqIt595p7jCWaFZ7H8kwZqHv/ZRtlqDaVeqHs2wTi6jYmQzVW14nhFmRS72VW2NL+z1i4MvomAt
gWV/x8M5LoFof8cL1gv/FZf9laGoOJFMzZ2aRP4mdbUAC3o9egk6Xdm2MfoHthfFL71QioMlML+U
rbmWKOw7Rp5Ic6vrCtzUh+Q0afMhTlN/SLiHoXTJoe+RKbihP2SM806O43+jP5TBSA4yJgEisqE2
OReoAYfaOkLHLg5tJ2fSOUZWIvFeOtzZa2FheVK8Nzhev1azgD5JQBTO5q7JdzPetDmoRpkpMMbW
OMsrMV8h6H8ZlCk5yNAtnmdWs+1/j5INHIj/HOo15h+jRDB9q6ba2AlNiy5tGturHLrPyixQWZcx
WfhQG3aicHG1gsRzqauuZYEL9w+el7Hsprjjf/h7CO5gW7dsnbtrPzmX50GabGbiyh9BRfWslT2B
d2jNOlRWnZFXuwqh20Xi1gGGm/MrxLyCnFvOcx09v4JRdPYq9TTyTnrrPliTBtNOG6pvrv69yKPh
wywyfcnHkF44WjYPAQZhG4Hd7iXQYhOPtNpeK6nLzlLrsldL7WDnlKLdDXM1Myukl2OnOshWxBw6
oExBfxzVMHs12/SzG/XWGU539mpEbOX5VR2agK+NmvCq9aQW72D4kDcKjOgcKW76BHPoIuOmk+cg
NCANTzgqvdt9sRpdK3vF9t24K/rw53AvRWIsREX9rFvJfw73AbW8W1N+HY4Iu3Hn265Y2qkOGkMP
vWXsku2J9ZG9gNNGn+r2zUXU6KWpauXeTzhIT53oU6sHzoEUT4OnTRF/Gti1blS7Bi3F32ThKla9
FaOHw5xeBeehwZ19QB96V49YJCn+2K2aoDBfp9D6USS4U5TJA9RkltgzCQO+xiKy8rOjG8NROu1K
P945xPcdOw7zl0Xv71BV4lnYp5EHhLVq91VSPkaoU6tbOAHNH1W8Y9o9VlGPZavm5yCuYBh6brrS
DQMFxLlI0/ZzglzKfuxKjAPHJkovGorjy8i2242syn7q3JCOgkPESs+uE1RDtXL1BBRep4/Pg0cW
IdLrNxwIS07IR3MFGmlOKCC4jSZ3chp4qL2aTbKIzbh5M3RLPXiDoyzlKN8X7TI1sYmWrerbiLzf
G4mW8JgmOKnB8W5YvUfpaqy94lCHqrUirRlsuoQnOBoDnQWPkR2YbVwvc4S6awC5R/BDZEk6Tv/j
oE73+iyTs2Lt7SyavuL5jkbZkuxj9OI0McgsvFK/pzVIPc/6FgFDIG1sT096hg3tMBj+nWHCZ0Mq
IlwrNpx7s8rxK5pIN3Oajj6i+dFzF+Zo0EfaEtuE7eAV9h7utnWuQ7dcuWMi3iphXuQLGWGwi+FC
Yg3Hg7RQJ6AGuRdd5JVVl98UJbA5CPwrXlaNi4E97uIpqc/doLDh7FSzO3ZW3R/lVZtFP6/s3lTu
1BCoOB1u4X+64o7eX1vbbtZVsQoSkzHHZnEbpDsXK6vrsVnPH+hUiuhNNhYzXCQPF2Pyfzg7ryXH
jbRN38rEHC9i4RLmj509oGeRRbJ8VZ8gutUteO9x9fsgKYmt0oQUsTqA0gHsIohE5ve9xkmeZfLL
VsyvLJWye9mFf0C20vG32MpOliDJ9Vpl6Cp36UA6OYh1/4KJnVhh1AS0KYTNLtu8uUTcfa2oOuli
XAqv7aWn17uO7O1CjridkIRIS7n2UILS/P0iYco/xQkR+Zk/RrbLs+LOMVdujB257Pjp6nygeQ4j
tXhgK9G+1JlzH44dSJC55mjpi6KG7knW7Dr/7qWzJseYdi82ju54TRbTUczVAjzzojSdHugEZ6qI
1ix13+3u2nrqXuIuGJcpPnl7eS4Rb6wlI3PayXMHlQl77ANze/03aCiMeB2uCfJchyTXpjXUZCN7
+9gTQB9nf70SC84qtbBQ7Pri1bOi3aTq9hfLVKxVAvgB8lBQPMMfvFzbUeVYxeznj+qQNY+OqX+V
7fI64Vijzuk208XK4F53zeR8GVpTY7ZtqnMQxu7J0oVFGEJDQ7BJh1U9YCtZOkF/gYXZX5SZnl/x
mpxUF8jZH+1CF8GKxKVghcYI2eELDbOKDAWWuckvVMVF2HU8Z5iVHGRbasbRghlTrMp9EwH+1ljF
r0tXH/cxic3nPp8emqrHJ6ghFjjadfds2ZARcQg49nPt2hSgZlKhOStrEXw1vMyT/iCroxdlaz8J
xo0Xg0F02tbaZJK5owZeuyjmIubxG7PqgnkJQ1s7s3s0cL3FqokCQDgzDleb4m3qTndZYSsfDVOq
SFmRs7XeITLKrwtE5EeTujtM1PIXXhL1AYXY2WGXdjSCfhlxvVG1J9FnebAaL0FZaoeQZfbBgCfj
tETIdSbtheiH6jFTMncXjNGwHaJkfE714RdC/9YvkcU8gl7CW16YycYBeXFHMD28IIGLnIwVW784
2aOlDu23Rsfi1/as5ORqgALqGtSrYqfmAW2EeuGx7mGaoyoPXtybhzkwA9x/bvyp6MpWoy3TDflh
NB/n/kZo8dKdt5os75cYEnhH4tems+ptNVyFimKv2rSxTzh4t+x5Ip6WoCh3nWHY4Gvo8EUNYLQT
AyRFJuudbCSj5Vy7RRBANnGtbjGg1LVqNfROVMOaHvHOFdvZWAoLr7FJmY2HH5i7VNg0RNOj77Lh
RGTlJGvyBLKH6mqYt6qqUrQpC9t2WSZ1dZFDPN5h+ynXrIWBGvCjmA++jviGn8XuXlaNzk9OgbqD
8XyBck9Yv3oVqC/4C4jzjyr/5I/Aj2PsksL8SYW7slZTLAYKVFn2tjcFe3ZL/ilxQ/yQiL08BX6p
LHjwmy9dmfx2RZ0cyO9XrNHN2rpTpq6xCtV3phajaVFV3jtCzD8qy6guAUwC7B7dV9k8GirhlXRy
t848qrCNrdBD7Znd9oTpuy6417R36OOuBrDcdzhT1e9ZupL/D5NjP1gGW17odHZewMVOhp+ruFsq
C5JQ1jIdJ4yWerM6RgqE0804F7vZCkgeaq208Q5hTIEASrOQjbcxBsq9W1Gk6jLMCDtKZ2BNH3dZ
Q6Iq4plcCDCaL6Od6OSBJnjAfu6v+6pxXhtr/gXlbxiLuSe/D3+91gBt7mpWe6vAbPO3sUwbplYv
2/ueEq4cz+s2SgnuWndx6ko73lRe3235yebvGaIn7Ry4NaHArOIixv4TIdoH4dvxAmuz6WsLkpQ3
WJo86HGckD71YSv+IdUoS1Jw8arKeO1ho80q19vcxnVRny5DKzWWGd58fZv1l3E+JKVDHN0vfrQp
GiCyJtsNP4RFWo6sRdFfvg5zk6o8F+Jdjro1NyMLHKHn6e7WURYEsCIbAKO8mvy8Wu008K5GFn8t
en9tMjWcknrA56odw8cMLM9St0ChjhUAhj7Iyy+a1rxiehn+yAyyoXrLrOtq26zVCraApn+nOzWm
Uor4YYyB8e6WY0AEJx2e9T4eVllRmpcOCZiNXkf1favDKNF7cyZ09t3qhpfvgqFdOoULRY+EGRmW
PqjvZXcNHxRnmP5HzQZxWxIORoonj7GJyx+m1sJHRwPGlSkFsfdYx/wNo0nudtjcteDx3mHmyeER
cZZ93NXBsqr7fMcshexiHZmrYJ5w5aFpoiK41mNRZdXCqGGS//tf//v//p9fhv/xf+QXQil+nv0r
a9NLHmZN/Z9/W86//1Vcm/ff//Nv09ZYbZIfdg3V1W2hmSr9v3x9DAEd/uff2v9yWBn3Ho623xKN
1c2QMT/Jg3CQVtSVeu/n1XCvCMPsV1quDfdaHp1qN2v2t7GyXS30F36oxO4dj/siShXi2WA/44mS
7EggJytZbTWhHyrMd/jK6QWZ4J0NLzrKWl979jO0d/BG116DlSWSl2fZkesD1KoyR9fMQajL7JJ1
2xjFu++Ezt6ZkmYlq2gNZsvKSaPjYBbFe7sCUZ2+xwbJoGTSkqUcpMZdt3IJhe7NLHzJnOw0NUN1
0Uyv2Ll+3i00I4c+Lhuz0oGuFnhHWSOkWl0qTRnXWe3GK6dMq0tud1///r7I7/3zfXGQ+XQcU9Md
29b/fF/GAjUUQrPNtwblHDB1+UMxVt1Dr+Qv0hTeyMAUZZOwNtJiPurUVzmK3UTCZpodga9lP4qZ
MyMPotNaPH3iH0DzqgduOe1R3N79MUrMkZI/mlTfMlHlVdtl4UfDa4JuxeSRLpA1sMGQUcLXoEna
x2xyIPMyxle8+hQJk6jI5R++DOPzj9QwdFUzXU01TA0envnnL2OovLTxe1t8HTxvbcxq2Np8YP/U
snijJJAo8kAY/N5YOkOwqkhy/NQmR7fk+A9xrphwxuezZV2WggFxYHVKCSFOBgJRTbshhpGwELDi
UxUkyfXQDVmE6rlsgByrqsgpMErW/coFG+53B3mObL8OIRH8giqJjy5CramLXGSwEgzsSv/+e7Ls
z98TezVH113D0XTNMdT5Yf/pYdYBh04dW+pvU1U3G81s043JGnpPuDd5ifr87JiR+jVzUhJRrQiJ
+wfROXATZSE7Csd8QYPYe4KWHd11qTuu46HEjrBqnjBpxdpzSoLHromS/bUazCkWmWdRCVxvWyXC
oCdIWriqf/TIXMyI7n3cY+l2y8zIkq4Y9v3tXHnW7aI/DeZ8+blyxK3dG4D9IrHIvADk5VBko3+w
YeTn13pgYPfJt7WVvdY85DYOIcHgeoYrz7h1J1GaWcve0P1/mG11fZ5O//xYu4atGUK35yCDY1h/
vkO1qtXovkOC75Sw3PSp6uKyhE6S40I8JRzD/h0LuVPkVd2xaFzEDLq8ebdrPTwYSZc9hCLKHrQE
l9Skd829bLseOhgyflBg3DqPk22IAKfEeLp2K6vtaGUPfaE7BJuTZjPKD/e8guR3XnZrqDMeciHQ
uWPTyJrFUCnoVxsxxRLmAaFkp17GtlYc3aSAL/RTsUGYeRdN3sVTa1gBUcY33idixxxmHaehjLdD
b4TnPEr0NfDa/iFi5lhhWBk/+x2hPKIZ3qtS9FDxhkn5SILgm6IC0ld054gu9/QMZ+2xMrVmNwEg
IxzcxhedmPBFluAUfecCKFj+0ZQ3iEFGTfpqutPgXE8oSh8Gawp+9nZ+00G/9AhXhgqzVj4L401W
XsZfCT9B4LYRo/LV0l6aoscPWRfQo+dSbE9I2stiPYXutVFWAeSbd82vIiZH7i/BtMdz2DRZu00A
1Fse/HhnOqOyJwkco/St1MZScwKsEhAbOGIV4B0TpekOxOURCqAm2y2/Yq/xUxHw9xrV+unuNiZ3
WdyuZN3SrW+R6ddbL2/2oVoEL4HaFitBjuKYT6ZzcsmjL405KdCms/FmIt55FecbsqzmHuNy8she
S163ssYrnUEyGAbPx8rQgfI6Ex7GziUeXQPLkp2AlKNzX6GLILypWJpVOi5GNcImbB5sNC7p6Cz8
Yht2c5zcXj2BKv3tkGUY9RATsLfs5yd9UXepeoo04IvI22/kOEv7oY5NcLab2LkfMyzsB88Kvrg9
7Jh4FGzLulpc7AG9Ozc3wi9Vl0PQ8pwEHJGpPJGOO5md570Qu+oWbnRHLm08KV6l+usOj03Sv8Dt
3LI4Gwr8CqR7sRhPp/Ig2zIwr2iCasWZiM5LX6CxUbFT99dshQmAgYHdjYg5++tCsLhVMvAj8jx5
iiy5QQThKOGvuV1rchDOT3hY1kmQ8MVGYPDW5uQFK5ttxVprdFY4qOufYIPkB+FV1rm2des8RqAO
//7NIZcTf5qXDMs2XEdYjqvppiOXiT+9OUQZ4W6sWMVXxYyypU1UaJuXBd6iAJk+OoGCHbp2r7nj
tAfiyegXzO1OhFKiWojpnEyKd/GF+b0vrBGfWvYvLCfqO6EP6ltUFgvZHnhGuCMaWmxkVcuwCAXB
8UzUzjiawVBdL1tqBQvyRk1PkwjSTaJrPcYLSbjRHd9hTonttx55o3gGxX5qT/2lWbT5F3+MnXWP
MdA+QXfxLVTzK8A4Qqv02o6befuWEE+WQN9P4zPaJWDYDZUIHYdDWDn505yXXBVZaG5kVRmb/Awr
dRcT7yoQXtZheAddvo/avHjCIJsMS1P/GEdFW//93XL+8p7nHWKTCBPcL6GTxvjzW6Qqa8Mhixl8
7YIWJ2gtf5us2nuI0tI+9XnVLxrR9h9DG4Af8F0LtrKjvaCRs8ESu/8Q3ZBsnVYPt8JMm3UdgHQx
wJcctPngkFk7yKosybZA6ORqbPsu0uPswnscSReVBVeJF/IFsUDsYgcemr5Ui6Onjf2xwCzjpRnF
Oaii6YwoUf7i6uIH+Y7mXtaCOUjZFEF9kNW0Dftl5dr9vprPLH22av5k2FvZG4IbXxtpVW98V0/v
ghlyBgayPXYzn8iatePbZVP39RHUHlBL2SL7bqPKXkdG3GG3kNUoTbVR/53JzJrze6lukR8jtvnI
/Fzs4qgmmJKohDBilaFG3M1D68bf2R7kzNod7XsbKbdpIczcvs8r81TlYtyXc4fsle1aY9n/cOPl
jf35MdWJUQpNtQ3VZLOmfV7g9UhRd73rG19G3a9WuVWAqBVKfz3E/OBRI3Ff8yqyNmwponurdKyH
dEJ410ZgUdbIgydn0ZnAQdkCz6ZS3Tr3zHCR1eBqxh4pM3lAKyo7OTZzmt+YCossPMcdVKcItQyn
jqXe/u9/1ObnRb4uDJWfs6HChDUMQ/u0NIpNUTqGFmlfbM17qyE13zfMMj8dhh51PviOGguUyV6k
iEvfgxrpV2bmuZcy1fNNzPYeIyU0SEWWe3elE1p3KhCaXZdM073XDdWmwJr5Av2sX/TG2ByKUCMW
bxb1DtA1KKFkWjte6u1N8Ht3slSoUXctZX+U/lvvre02jsRa/A9T9V8efl24lu5opmMId968f9oM
sTCZ2LOP1ZcoTX9k2ZnwvHc/RJF1Cmcsj8TnCD2NVygeidWtTZbi1tGPGgZb1xNKNGoWshhNM4jY
KMeNvIAcLDtQspmjH95hJGk9/gb17lAYKIMxQGvF6e+v8G9ZVId6lmoak3VPDBTcAYRRHUAP3DC9
PttSx2Rus8NWu78OAfV1rRrzEB/NlQVasyMysHV2qer0WXeEeSfNhnAizi6+KpqdQEQXAhZVeZBj
8zS+jk3B+zsLUQbtzleGTR/pNXRfp9UW7VDeg5R3vgRqgj29AxiPCInNJla8m43vfrF6u1nCXEBd
ROudS5UgxqrPHYgNEQ7Og+wMssY/F5OH6ObckY2sXRpvxAxcBPl9O6hzeIiOaCreTACRf/+Y2PI5
+NMcYLEbdgG22rYDCNH4HBlAsjLR0LL9Yg0gx8s6JPiFu8A6Unr7tTS9fiXq2toFc1XpwXCrRpPd
y15e3bj3EhUeCyGeM5ZOsnm0wE7xcvuGGqj92mrgP5zcVJey09WxYfF4VDjMvU7+EPT9M+5E5UmU
wr4XfqgvW5SVvwFzh1FljO9TXYD6wzVln4V+8Vwp1Zsc0ClZvbDasXlA7jE+BP6UrBNvUL424UIO
yPXMXRVuMB68InPxifd49c+Xxk/vmfWt9cwqxtgNhoIbmSReOqlF2M/vub/IHG1VLaofxvkA/ee3
tiozqwd5QCrl5zY5+HauEnX1ddytTY9QSmJN8adrfb5+aYMKYpukkz1/sm31FMAJ+UgM7IXicsj2
ea3Y732Ebnxtf3QNHLqkUyvUmjzrwy6xA4eyyMK0A1eCwQgiZ7RDr4SaUGfWpcsGNK8TqKGuW+67
gsQfQiEJj4nhYxcN3T+CPleN/YGFRx+8unnz5OhgX/S8fnUhCNxPZuM8AWcz1r2LuFuIG/HT6Fcd
Nnf4HkVIVyxZuIAwH9qzHDtMOHglleLBWmWsr5EMq/IpWcje6yFvlqYbTQ8JG6KjGDRjq/8hlCL1
Tj7Jn9xEVjDSnrZYMV9uTfKET+d/qn66XAujb1UK3VrIc6XMyu16KZZjd2qBpVFuN+uuz42LKLSG
BAcfa8ylYW6TvWrh6tfS34/L0QzfuCo5Nm/GuFsS7i6Lfu69GK1lXjuITWtHVyLkZa8zj5alYvAB
pzAuJkc0GZAgJtZioKjV6EEecq9BzMAL0+WMprm2NcKc9nY2w4Xnce18UJsWfkusn2+nRnarnPSp
XfbRqK9RN3oxHXd8sNWpXmp9V29lVR6GTGsXfeek+64ppgfZpqXAgxVIT7Im24vR3edOMd7fmloR
oZ/fRpfMEM1FZD88jVRxneBoRKh1fMfW6wf5Rv/iKpr5OGjBqRnt4V2UlgGaBvUmHFJ+HtXHzDRQ
K09jWoDLhzG4jEYjLZeJf/KQNnt0VWV4qv2IXTQpw63fTcOTXo7GceYfOm6XlcQn8YAC5wJSkLFd
rjiQUXg5afGTzjsCXf7xgW1g8aQOabu2tF5fy+roxuFDNpZLWbuOGEttafq6soWxTOjMZ4+MsJdd
bQzPNA6h3rH667MdNpH2TphWX+9lhzwkPbDPjSuMWcuqrxZytOxpbPU+SIryUXMRzy4b0d/HtqOd
vBZAEiDS8luCAFmKrONbnqbZNkNPcSfUvHjB+utBDvgS6r59F9i1EqJGB6/Dbcz7wXEGYirjcIYC
m54gAyyuIzRWMgclNo+3EXKYX2S4qFkNyGRTdVgsVw674wBr8kEM83eWVAfNR0Q+SKkmVuPts6w3
1qg1lChrEqiwBy/9ZiCgU8bW8B2jIoDFWGo+dpOPPE7aWDsvUkfmXse+Dkl45lzL/sUiqSzZFZcs
S8c97+MUxYq3FqYXJn0DAoB1/tvBnau3tiI1uY0z0XIDws1dBORy37HqW0rlgLSy0d1TAWJGZW6f
A5XXslQMmMbk0U5L/Vj0fMtT0aP4jGrjl8mZKUuaMpxSlVCViZmIbrJJBfm9LBqt/AJvCPRR4OZw
adr2A2qulWTllwmQ/9arp2Irq4l+Vwwe8LBhLHfTaNYbeTKSkMscnttbryjIO3nxuJbtQR3umkgT
L8WkdndJb4qVvIxW2Sc1IQzmZT3SAS26k4mwTNiC3vBhYmO8KG1pUDSNDxi5f5Htmg92G3y3NDYY
3uPhEMzD9UZRdy6GfWs5qlDF2awtUr4goO8Nq1BQ7OyHj1E0SACUixi/tWUfO+LFUlt7MTT19N74
dYzbUzh+FZEPb73SvxtRtiNN4gPCVH7N4UZGBCrOJTv2YEGae9PnafUj9tMHZeiMh8kPMxjTYrhk
wOaXECa8TRzrs7av0nq7UW9y1npDUK+9KFlU6CeeXaFk3sLQYAhWfKWbOPNRyY8+9EB12WGVlXLv
9ZpyP9jogMV6eZBNt3ZZUnuv549iwfmpwwwMZT3xYdtqsHDomuKzk4TI9piK9zJmRgKi2VUubl74
D+xwnIUBhYNMLG2W32cnoQcPpCiPkWr0B2PQzLPa+OKMX0g8y7KtZZM8pABtsGkZ2jtSkURmW5YM
rqoFL30M4BboSwyKpA1fUOqwz3FXMl/RaXnx8OQbP/IyDF8KVa9WzpjieeQOzf0wHwo9Qt4hq3aq
lzX3qmNzmEuyUw4rTaNYCkh8a9n2aVyZDNheWs+QdrRjpavToXfTEgOdOnqeBtLgPuCLHyG+GY3p
/ehEEC48pKfIt/rT2gcxdj0JAl+5iRJtIYBKH2wd4VgNRlqHYKXR7RSzuVyrqMqbx7FGHWZhr034
di9NhoFBVfCYRCKtXkqIgmuMwYKt41vlS2YgZ8msbuMWQ1UvTYxEnRzRy7ka2ra9C9CSXsqq03bl
HQvM6FpFUdE9wEsEfzQPTidLvdcL/3uiP3vxpH4FCv5LBETzY6hLb+FXwn5OKr1e5Y4VPMD+yzdR
P6j3g1IOBK9H9S4ZuUmJVSCxgp/P0lL19gLDNt6p/Le3tLE5QcoTK78aNTbZ3XdNC/pfeTSUKkl+
jVjZLWKsEV7LcAzWVQFE+Fcn09NVbCU8AWpkuce+1HfYLPIAFKb1mpWZcVd443iZa2VT8E35QfYC
CjhZKJoxIWKqpi+2bwKJ9pXqTva6WobmIrr2QOLp1buhR+XOnTayStY42vYE9NbTmKUv6FGZi7RV
4qOb18FZ17VfmQy7tzBI810Bz2ZtIUz55ueuRtivUFFlodftgqMeNPljkzGDCB9hm7nZLs3qAJtZ
TqjdW4Pe7boYanUre/mxoHKfVAn4LC7Z96sKmNKriYze2e7Nnz4XUmC6lucY7bDRsWe01K5+xHEs
B5pcYtkVW+HJR2px5VRp/YZc+hvMJH6fUb8k4+1+cyYPoNZ8koB7sh0CgVX4fFLggNQysDV+m4Lk
epLl9EunKpxvfp8iUGFH9aM/f1KqBz9/EiC4+i2r/DdL8ZUfadn99EmweneTYi2YSwUo0TkZL1P0
8lClzeYfNnlzrCOXyfprVp70kG6qFoEzAEh/jfO0mVcEigqfwo4CA+HPNj7oVaa/pnr0MflRfUb4
T38NjBgEa109DyVLn370VnIQXGxsjYFaX08JmvEuMkEVyeoMmNyiQmdw47iEMyj9Cm0SYyeviEQk
KIsiJvk0945hdI6xoLlo7MrviP6Epzz3sl2Q4LPAag3hDzGFR99N8kUQsaXMwwF2aTrgjJVYz3KE
P7yh+dY9yf4A2xE+uznJWqjxKkpHNbkb3eDVqV0LwRSD3bhqbb3KUGYgoXOEWwo9aK7WShbt4jiK
wBtRdZNyQF7TtXeyajYWzNCi0Q+BMz4xEb/qjpU92nGXPcZsOUBiEqHvCp6FpR/x8IZZepC9IEba
+7+/g5rxl3AWGT7XVQWxGguWkPgUzopsZpOydnp2eMO4JUA4GWQlJyZGL0Ucq8FMO7pvhWoerCrj
R8XfCtHOI4FqjeLiZd901YkeiyqPH0tMrPdOLBrSYxHEchctURVh4m2thsp6zIvuXe14Mbep0Zz9
2kFtpZj2iaJ371PXT7tJAOMMEId7Lw2UNyZCYCfLxCEHfPj1dOghzd6peXT6+WpFC0PWdazyvsee
5HUEni1Pr4spvyvIDmPAxbByhlNkZlodU9Cnb85vn+m6dXxw3MxcylG+QNBPY3Y8yGugiUSyblwp
TjQsByKBFx2FuUuB+YLP9Ha6NbkCTIwxINom2+TBw4pnY6Kuez0VOWftaJbWm4qJ7tHHX3GXGyl6
b3Pp1vbfSn8/zo7c367n/lH6dJU4dMUW6DQ5RPWh7hRvGwVhuGSDNs27tOlBS4NkI9ouX93afK2d
Vl2rGWt5muzoTL1cmqndbW9ttnAQTBv1ciP66Ts4cOQxa03w5PnqXhiEsSbRo1Rdh84j+u/50sqC
9kPvxDP4sQAQjrKmAQKT6pQno+zqL3//+/5LItsw2CMAyLBgoRO2lf0/JYwyi01OqDfBB0I1YXxn
2bvayJ4heDU/LKfdirHWvqi+I5aBbhvnEk39fRVM1hayf37MUb9f5AAHFyCs+JHPBwVZ/5UVgwSV
Vb1uTn//TzY+Z00M2xW2QXDTMhzTMcWnwJmlqX4YkJX6Mo3DKnKnGugDBzMp8Hy27WbHNjle9Kr3
W5s62Fh842e30FOz+7Cz+gC1D7i5BsWKNALkqTTtP3zw+otUpOp9j2bYkzKmZytV+4+i4gbpWMrs
0mAFbbrwM/1+bCpCm4OJv3ae8JK3XEfDNpEeWZIHOZAMfI9vVZj/AwTBcD5NTPzhjm0homzZJnga
ECp/Th7BogdhkM32AxYTpkjK/Eh+xp+NvCna8yHV/fzoFXDOCWDvP7XLqhxxGyvbEpGj1ZqYeP3N
F/k07la9nZu7EHdgNUVowpr9o4G4+SEQ7gfEAWIgtTli0GD7YuOYNb3zEJigywHm/EU2gdYa9syk
E9q0dMqL9Co2TrUTmjvk6IZHtSh7xDQuIsq5pNLx2/SrFtWW+QR5EcUrgwWwAP8gLwLDbDzFWMfJ
TlG38dorelMmSg4JMUKWnKTn4/kgS01t5gtkltv1p44sRat9IQdaPCpLXUNItmoLGzm9eFoGRtg9
24k1nvhCHtu0Q91rPpTDB4yp+OnabxEaZZFcH2Uf4Aw9y5pjnuB5Y5UNWq5+oOHZYKjHRCt/K8k2
eYjn3k+DZZvsrRvT3gsfdZp+8ouD6rYEH8bkQWhFQVz894PsnBwE7ze5ORYHWb91qxGSxiQNBpK0
Ln67yqRsjPnNq80HFVxGpLXpyZnfw8BD4vupyc799TUMSH6DWWtL/n3und18kODMyCSCFpAX6cpU
fRDtRvbJUWE6VXtUV0cWKvO7/L99qtaN+9Azf/vUKB3UpTMIoAjpNKGgi0FjguTeRw2SBVZa4Z4h
bjpnWe31UfnQe6L4BgIMx27Qs3OaNV/xFzZOqMqbJ1myPJMdIC4ZVlmYbBMnwCWyI2Kfj41EXa5l
9XaQZ1Tout6aVJIPi1aLkUlpeuUegAtibHrmbALVUu5l2+0QWH6w9IswuSN6HB/Q8MIBcC7JQ614
Y76QRbJWyQZt1HPUBskx8jMUsJwiWzvchlUVFdU6RWYDVQn0oAlyDRDf2l/9Mkc/o++yp7ohbt2P
urq+Vuu2fXCxDdIN08uXIqsIvZRFhx8dgwO3b09ZNB0J/iT3Pjk8ZE+Fs/Aa03gbBt1at6KetrKa
Yw64MKcxPpdB7b9WrFg0NzHfkmnsICz/6Syru6SQZFhuNhFxAb3+xtN8NwJae/OsvNrmPdufPA8K
FC3DRzkApbdxYQeedRlCtzuIIkdCeHCLb6BB5ws4heKsMgBBB4SF9Es7mtNCdgCBeiBS0rx0nl+g
LoOgbJyBXg8d/U4OECWa1ApBl87BT7VYxqlnds+9y6bVQ6ONnXO1mUk4X4cVwomAh2IIbCyZjZ0X
6uarWQM5mrsjJwbNbbFfSfvKWjuBGO5mcDG8L6TnlEA5lFJxblBXmY14liRm+EW8D+oihZfrNoch
938jbOhD9518QvGAB9p4qsqS9BQQzI/anNZa2Chn9BbGx9ElrlSAId3FmT486qgsPrTmUfbJlkqz
C1A3gbWUVWIXD6ZpWnd4Kgb7OjSMTaxq+fuY1Rv5XVhD2y2DZqpPaVKSwhuFuH69CDGvsizPPjSD
hxpXHnU/BEP5JDB8kmdmWowEWiHgJNQAcBTTd9fuMAZf4Gpcb4TuIbLXO2h0Gnh1nNWkzJZWhTCC
0iF5mZlom9YlPDnIraV7LYyygJPQtfBH16j+/4z560dwnaxuq3lZcPsIxdfFP7yW9b++lXGmMlTA
m6ZtWO7nt7IQfuOmVju8mObknOOkPWPfUX5oLf6YHRotW1nNkO2wKp2AWUVmcNm3hCDHfuXlvtLF
fD12scwQxIMkqERA4n8vKabtssoYo60sXXtL6x9Sk8iU/HnbOq+sSEtaNga5QIiMz3se9g51WYCh
fjarHuFNVHfVytB2tokYpyzd2tz/0ibHufkZ19DFqKRkpdCMSfYhwem7biqJPCaud9fpxX7MpsjY
aoNnb8aWN8+1jjvNBj1jNFGG5KNrm2Rl1JV9V7oIior6KbKVhFWZle3DIEyZnqlGY/cd90XtApXJ
gPQXfpejiACka8PByUxWK+/ZBtLyVgAX3HS1U1mnZMhKtObC4k1vWX/UQYP/41wNi3zlG1717KeT
+cDzx5pvBuiMNs5LuYvjZsBOz4m9ZBug5HTuyfIebW/YyNoYt+5ZlqrWUVEZw08vtpGfXshGxUo/
UNDy9rfB8nyiVBt1PvU6Vp6btLyNZWM34Doe+gYsWUPztn6olqxV+uKNELANEqBI7uRfErnuI5lL
k+Bt2L10TUaEl7/Iwq9gCad8QHErs8VHkYZfg2hKfwmn6MOscpNl/+DxA3VANmIO+TwPCHlPvISi
ZKrrXcDW83LpWpRrKH2MubPa2NZL0+AfcVtYVVpbeMvbUgqFUjwXYMdtp9ZMN044lXvW484zaeIH
wwiNr4XwYhQT/x9j57Xjtppu21fZWPfswxyA0/uCQVmqXGX7hnCVy+TPnNPTn0F5dfdyrYZ9AENQ
Llki//B9c44ZaRdNi6tLVLdMQusDfbxcKk6sJ0cuor0lmmFTjww4bfJ2fZzWcxwsGZH0eiev2Qzh
GGgs/y9ZxrpiVJzqq+okL7i8BrB+qnGgkSv51/v51r2EeOBPK0t1O/ZWu7UqR/oUA6+5PiEjPypQ
R605wFdPHgtBgWZ9QznSG8+eF/uMe1i7aauBlsz6QB/S8IVkJd2pYRselzyvfTM3nNtkxOECl/S5
bcoWfFkVPRnsDapImV8Gy6pOc6PDT5qL+QWbh9h0QitQ5POoqACrSkQ/Xa6PNnieLL14gbI0XRpi
E9iS8KxULMt2jiRgSL1YXrqkTz2Z+Jvj9UWWEwU96LZHqR2lW6sgSfb6h/G97C0nHvzriwhdzPwu
tM09SLP23CSwWZZ5QdjRrrsmkWhP/7lJTtSfN+sqbI6Ulv568/qoaCg5XF/brelKoo4o6eb0Hh2d
xr8RhwcRDcafV5n6hjWfug4PCjZuKfjbY9dXSKERaKkpownZp0UYGp/qqW1AdgCcQ4BJyT6lQTOo
5j4rVzRdWMnkSlnJsZpD4yFd7Psf92eOSdUNhazdTeEdq+n36/0tSxIvbwECYFrKbvOu6tx4lZpI
M3EteWzrN+ZSjxf0n+RBJGB1hx5hDXDewCo66/DjKnk11uF6O6QZsyV2E0YOkywwHP1czGAs25qo
nh/31bV5FvIiHf4irlnvi5S7Gal2yGDB8hWV25CI12aM7q0kFO/DWG9JKi5jt8pfcwLCE7fqb9gZ
G7FbpglEi2h5b+fwxmzs8ZX0nW9LUyqf1UWfoIIBuJsoe7tQ4sHshpYFUjBjB4GBzWEekkN4moNN
kWu9en3S9VqrdWRF2XbuXe+TGiwzrhTzHvn1PeggiC38zu/Xh//zOnskeiyOlzIYwnxyHTDneE3T
KJDMWr+wx5VxsyrKvnCS/oxuC0ycEbcPUsxa2V6a4QukuJswQq3oSn5UDMMPd5NYTU1XZ9PVxRRF
uXKMF5Q/q/+pm4mmMLW8dIdmshCgcUGxD/tDRWadEyUsRDCzqrz9LQS14RDF7SdlzWe7Xjirk7iP
8jMB8dLxetf1qWYMFDKEc+r/57lWTPKgYsS7LGkMX1Xn6EbNu4X0KnMmmS7Tz10iD4HqlMUjuVgq
3lstetUmJDAta2h3SCs/BevzVk7pSuBT9CdHAD+8vlMTKX++U7kGtGqmpG5NqTHOlLZKQ8Rne72R
sQw95+OSAXYba7FpLWnNReARK9MTfIjkc3ooIamaJN2OK/lpWq8lSp2foqrpdiUJhD+uxf++78Oj
ZdSOgYyVH3WAfHCojeIqWa/GpiwfJIOL683rhaHZhRn8eBJkQ0MlaIOn2qmpeKVSidsB9GZma9kL
kh/1YOt966smVmd4GZDBYqoD2NXyWzvTyGFdH4CHVvmj09uHOoqd5ybrvczUJzJSkP4X4zBvrjfR
fe1JkjMeyfZJaBdjAMugb/fkufJVs/ouRRt+IbRdeHm5AsokrdkUmShOYHnRMoPd3dZLNNwpzjJ7
cYx7Xc5oPmhrhSlaa03dKPS9XTQv/7nres2uR90Xa5qhTOCPkub2iURym00/vjlIc4anrjev910v
loqVi4vnkIhIGzgfxKC7hgKYp9APA6RbgVK43l7W21MboWK63mYW/9ftKG9edLmA+VXIn2T0w3kj
F9/ZIALtLAz2SwgN4lQ379EKm5vYrsTRtPLo3Ntrw0nqmqe+LKBfQPZ971+zLC2/Fyoa0qZR7SeJ
YQ/hQNado7FRD6WVp9us7ut7dp0gPvI6ex0I3Ly+Shmqm2hmtEK4F3oMrdtfV/5U42fbDV1C3bFU
mbKwYxiazOH0c82LGmU82HIVvhnlij9YtOiYU+vD2/FdbaP2NU+X4JPRg7lOCFj3UnGeVaLxlBZb
sWQo4qZXpz1JSET+1aHGiqy8iKRp973ja1YltnlVxvdxcZ+l3U2pRfpBlgztQLWAQJeyyjwx9Chg
dMwG7Jp0v5RnqF9TJjN08HY4aGF8bvoXRZd0v5vht1G367bYKignaw1WkS4m1kI5mKv4xpJxBQGU
/qQqwLUK7VPyjnJWu13KJ8LoHJQ+EIxV+pskR9nFSVZCZZs3/ZPkLAQVRTQw8dobO7qpuYexUjpa
yQNFD6je6tjeGDNJXOGAzUZAkT5KskXLHUKqW5DTuslRpvpjSD6VHWdeaCjlBguXvBnDTNssxluv
q8V+oNQSWNTHPQOQ6YYK+ORZTcXa2+j34SKyHV5ctDILuqHUKF0QvRg6yVCTBB+5LenxpAYM57x2
J1ksDyPQ6EQivXGOmfOx98IUUVMrQMckBQjvqs2s2aqbxiOt+7SrfRkgG8kPsGSkUf2aliD7BrOo
gyIKC1eS6tzPI7W6T1ADIilQz0Cs1XOHxylVRE8iQ+xBuJkOCI6dIwmGgM9bDFL0DOOHFNOkl00q
JUdy3RAh1s0eDp8PD5NmftLtFzj2wBoq15yoGCRL/5bLtXZCPvMaxdrWilkzmXWZFG44zPWBanjU
Rfkp1/TnKTG1Q9TJlp8a4HtZtUReojgd2ZFmS4/lkV1dfsLMn59qBuk5Bvra48hokrB6iPXq0TC6
/GAIWtWhfqR8fQMWy/zE2LuPbcLdyR234+Jcamby0kjZVrHGkVAr0Xol7cg7HTHd0OhuFluoH6qY
ADgS9HDKJu4wDN25Nw8LMohgpXluCPU995m9nOMSgYpk0RXHmnWqQlJmZRxZG2vSjUNVJ89lHo7n
cKYom8LMsJUm3PWzemezH3UZku092FKg0Or0oCRNf7leqBbkxKkuiOCLG0RXtawdtblFKqdZp4pu
7M2IEsWfzRh8v0UMLWJbbwwXt5PPUW0bz9gPXTuOjzVV7IOUS9N+dobPOf7xs65OaKM1fkYNgaun
agQLs6NH3Ih+0h8aAAnhYqvbiZWsn6uWJyTtTR7rQBUq08s8TWe5yG87PHmk06OvxSQPHmPWOj8t
eoLQ8zigYOFss8gqfSDKvjlFX01VG34zrCk/b7cZ1QzFsAzsnlQNiID5qASGRFZYTuMU35AdqS/l
jJ6K7BhrkDDkdJbEpgvTMgypoAoTrPWDUX0nN8Paxsxo5KSkxKen6SGly96LYcY1zLn9m5H350Y2
H9HSqQYgV1ZUOhGW/sGposhq1uR1lbxPJEOB9CZzcJTLuzpTSjJr53GnWqSoVNSBvIq94yZTWlcb
UVpdMcLVApUjmYGKa9lGU8x2Q8OFbYvo8rtSLpxAXmJ1s6xjbZGOwnPMTAv03CADqIxfuln+3Tf+
c5Xm+o0jvFYM5PeYQv5m36SW6ZQpzrZvOUCzA8xF84hixydHPiGUKYOHRVhL6Bb4XV3KtSHJ5xmR
5qqN89CwvV9/uY7yU7nl+mnIZQeR6zgKzeaP3v0Jkb86MKB8c9iFwD3pGwK8y/fBjlfT0tz5i+6k
rplAarEn+7smpW99102nfnSWfanb21q22LNQNtyxNpwOoRQjOOuEtVHiGq78Ak2yH+JPaMDkS7vE
l7S1FMQdgzjnvZpte5I4jOBa/iCq8kUqReiqVfIo+vqBWcwJomrMSTTLjG0jay8iI+gx0aG26WYK
NW5tMCS90/N1ASHqa1MOlGjY53mrerEhD94cKQ1ZXRY2ovVmY5pZ0I7WMcL6Re5D7uYTaZCAOr87
nYi3hug+q8UCWrEq70tbdw5qpBxGIT3ABkueU85aV7Gd17wEFqjNvXxEl6PviogJpJSyZGuEanPk
TGlWXXPffzdm/YbxABdckwXzCD+2CdP+pMpdh6bWIbRBro5d3XfnLCeO2YzK3oNXnLqpbAvqRMot
4QkS/RtBUmk7L99//fsrf1vVcCTSwjM483XVsuwPq5oSUqpVG1HxrbDk6XZonIp4rVAfPfo6D22s
si2qqKqr69FZ1WV8ZzAW/PozqH87BtfeLxoVDkSNlurHPrAiWe2EnXX5ppTZG6lu3Qn1RgZdLo9Q
qUKKuTan1bQ5I/TYsgOL9vGsTAElbeTPY2lvhKG+EkzQnyfCckHDzNIxgymQzIXsj+OgnpaRWNBf
f2zlQ6nyOjARM6A7tqo4ay/0gzxDSdlOomuyvomGg09Oja9OP6o+wYNAQsKo3heWiURm6Z6NOKB4
vweern0p7WnP1I1ZlRxCFiHVeJGGyqX66hxaa87cxCabgDADT+E3YylsK4+iVuRgjssdfCjZ79ro
qNiwJ0IiDM0298lPMfdTtLQ+lVN7O9rU+sYug7OSkxdKONOK+c5eQmkqNtYIjTmmV32skY8GdRhC
YonEcLLMmX4ObWSsuESS9mXSunUyvxY6vc0YR6SXSnMfzNFkbUrDjtmHloPfJkONG3J2NlGvbeLS
aO60scvxzmdWMJHbtQl1PWFF4rBaNaKR6t7S4XfTar/Ro84LKxauTvIVY2Dc1q+SrhtnRnbDlyTi
exWb4NAam7prJWKmFhY+YpVz9qMuvves+3AtXdfO07wHwVvtqrZDTUzVZcuKQTnA0BVAg99kjVhf
ACFaM5CrVXbx3lx7bTrbbdIvBQmTsb5vx2gKRhBmTAFG8eBAZd85Q/9ugFLMWdSoyk7BEHdbtaxU
bxAgsb+T0c0ewvnkqFW6i+tRcedBFwvVksIz6sybiT6/1SyJWNkaluUoO3Hh0rmQ7kTxqdARMJBE
oeRH8jZZGxaKH43fgY3nD22pmzt9aBevowQtG8otgPs15gg3Ybl07W+mgQ+GoB+Hsg72waL87oDd
+2AI6+XQ4by0wm9mI2JWU0PhppbkbFIUSBtFFj1N52G4mKYxXPRIId8ziY5lhrWdxcNm0oeHYQ0c
xLn4mPOj/PpM+/sAwQrAMRwEB4qpWn8DzGjquCzpNKbvo+hvkA0rD4qD3L1BYeyFjNv+3DfZbQcN
DZ3E4CnqjCNNsRWvM1jCSBqp3m2rlF8mu0dBm1oaIshkeLDGR6e0X+dorh4jev6/E4s4H+dW1iqa
SidG02xH58z7ecdoKqLNWyIL3qUI8M0CUnEsracuS5i4wJduzEmd3FgKyz2eHdpDyGIfoA3fWplz
KBTT2F83U4OsnaV2Qq9X7NWRtKyyZ7+jkE/hRqgrrW5sz5pS7RMKh1vFjlYQB8YaiGnOoRkX2dXC
dks00NuMUuyzltoIV7rmnORhs6U2nD7mQ0PZjNGn66eXX/9yHxRs1+PK1tm82bKhonV1PuhllryH
CDClybudq23gpGbEfBJi+27tO01U6dGcFDPAK/U+SwRF9dNBmlvjmE9NgHsJAPEYn7VJbk5GHlfw
rZVPFsH1t5ot7UksHKROf8bsSxokZg0f9aJw6zYbPIoqMD2SqL4sRfill3sGtZBNFT7XpxBfz7Hp
YZH/+v/K8fO33xv9D1OoanOQmor54SRqxtxo7ago3jPDkH2UtOMFN7BD0PYQWXvBoucmF6mPTqY4
O0v0oHfx97BeVC+VVWOT6U50vl6UDqVdyD1ADAyUlditkr5P7xiqwn1lt5+JYJ5OEuVeu8sDITUX
ApUnAAyUR3E3XnQ+260OcEhwbO0cPSLTPpP024l23yUtPgtrT6RGRpolOQ7wcApHc43Kxu4qa0+1
2QchPXot1ZUjoeRo+btBhrRLSliPbqbAHl9ZzCXUvXZhlMReT2iI20bF2vxgi7XcG3nhzropEWqS
gwDBoHMDzqA4dSv1KMqdmgh7gOBoafhgRi89S3NW+7QobtAvlhd1euy6RezYckbU6U1M3XlRkTI8
ZB5CcNVbtCcWKEg82/G9N/ujUzdk+TBaAwN3aSqmNxmLOndB0BokJJ64+crhN42GqOK6uLCCdI62
WYojTazS7VLd2ClxOB1me/4+iV6l61Aoh3BNdA3V4j3uaxAO1DFdQgOmU0VKR1iTS9nB9psYCjcG
yxQschQ8ZKA1aylUN9YK3DBYLtEzx2logIol2bOpN2Rargm8qk3NDc0Q3hjl2MZze9aH7zTou5uM
1YMLHmMP623c6mGTPiP0P4QNNeJyfrUzKTqx6ak3UwTVu0Fa5yYz1CFq4/LRWC9wSLsktFanKKxe
Ye+8N/jAd0ppXAA76/d63087C5rqCJf2RhVIKicjfyv65qybUOk7O7odydm6BZbqtUp+T3JE+d2K
mAvNC7V966VQFtOdaT0cC1m9TIaiPsxKvJ3tKr0d2fHAPJu7HcMS9e0xHokQinHSotfbmYLSP3hS
JuMqd4KEqfyI4n0+Rz2lqsV22tuI/LPfrC+tv61xLVMxNIP9o+Uo6A0/jMMDyZQcdXr/bhIf46Xx
zLInx5dlOz1jKEuGG9uuOSDbjUqWe+UmESAPU4n8mGDGrSmWt3wSxjZLAc4nBuDxL1Q9LBdMlrNP
k7VCxTqe+e9EQiRmEFB4DHHRGW+Gm5rFSPpLaLqqhk06GmfbV6IZfH8+zie5/ZJmxU5D9HkPIqAk
QLDoz9CrjE1SKt+vNBhcI1uyS7S9MdEDAl+Wfs7bIfOxjjGL9DEbc/7WmAtjgydG3WIewBsaifI4
AtVK17zPom36hz5RFW8ZHnM6X3DXpiSQC9BA8VK8TzZKI3Maum0U0lBK10M4bMRlSIb5LEzjtluq
5seu/v/8RI1rrxS5txKsGGKw7sPN/30sc/793/U1/37Oz6/437N4oyNZfu9++azte3n5mr+3H5/0
0zvz1//8dP7X7utPN4KiE91817838/1722fdv+h36zP/fx/8n/fruzzO1fs///j6LReFL9quEW/d
H38+tOryFc1cJQ3/5uutf+HPh9f/wj//2H0dvwrxX17y/rXt/vmHpBj6P9hsgLjTmFiNP/4HSuD1
flP+h6qbLDNQpxqWrDE7FWXTxf/8Q1X/we6KGoohM7AjJmeh0pJZykOK/Q+HgjZzFswEIHHUB/71
f/+T/PfjR/vvJEBFW6e4v5gOHBtBgw4Smcke6pxu8/n+Sg9D6pstiRGpD3KVSLtszvqdhM7QTQoF
zHsqvWTkTLvVWByVrtefbGQBruo08yHNK2dLdO8zNBQFzHdBe0DIii/TMjzAcfG7tIYELfclRRGl
2Q5OG3pThxGo6rr92Gs5xWWDFZYtFSctbR8Fzl25EwhHOukwU8U6yGE2+hINoM6RKiyQZP/0CnUL
xu02iMZ2x57S/GI72J4RS6AncJhPbJL3dmJt7eN8Q3VZhEXgsC6/XaamcGWz7PwyJvErtfu7OhoS
b2He3vTwudyuTexz10fB0ppPdRH7qtM+1OW0082wChapM6hCGMHURzuUKAvMQKt1C8uF7UowLRPG
hmOp8WTiFzAr4FEMrUGmpTTqBOiNb21Toe6udCq7VU/3gJDNUTJfO2N+sXGrX4gpvFP1proZOuyK
Ga2UsU7zO7x7GTJ9i9jkxNFdKFfG/Vglvl5b3Utrh9/rCqGemTr5ZqLd58pomwNBD6POFT9dJXOq
088BEDIybBKKuAPqPUMnJ2AKB6QutY9tQ6cmPX0vaWffjL30SRLybUu8zn1uUKTr0zZ6KESz6Sxz
8uJar84DfUbKPjTQKRN9hx09HkUsvyWdY14aK4v9EIWJH1E02dXLgrzVYhXSxWgUSqu+pQwpfrMh
MteF6YcD2TRti5NDltFPX9d6f9Gmo7vRE2CE5kNRE/Elh/3O0HojWJW9AQFG4d5Qqi7g78Z5lnyR
jTVQgW6vzTrhRyt9cMrKl1AB+OZYbsd0UO4sduJ+uwyIhHBoONGjUlYAM2Y7OljVcCdSedhC06Oj
NcEWVSDAj71yyZS02lPYhMJGZX6aCRcbawsQ7sIuoLaErxFSeRocNp8goGWpbS8ko2zjmeUPvR7h
mV32ZlXpV2vAnNTSI6dp8jxkvXEfV0owLOMXNS8in/TbiIA0E4iYVt4kynzf6jYVvB6ZsBWN6mOT
lTU6YhlSAISYh78Mcn8OJX+FiKryz2Veqig6zBYGIdsmoU03Pu6WKtRgUShXxYMFDtyPZ/QMLA2C
cYi1sxaxKw+NlyKKo5vsRKN6OCazdDtVw5dORlCTimryMXVH6BCaN6PHXAVeh6lVwVkyr4u6VD0L
RZCDaquET6wX0SrJZDJegrYalUMyjcgQw96TemRcBBbuya2xD2J6jQo9PWTV8NKmkr1LMoHIC0aX
LKwY/kf+DOTApXggntSqVI58S8VJUjXwSPitM/Jttaiebg07fI70Sd2SfiAOJmgQ1JLj4FliUdzF
qiBetacsq4pt3i/SVgclVi3Qfhnig9qZiIa0q89Cbu1bc9QPiOfynbxo3wqzP9EcRSDH4DaT57DN
B6UmPTPBcxONJ7jRPr4CK+jotvoa/iFar9UGlBihRAmiLMwUznGm6tGP5E6JuESDTB4NmCaFVGJE
avIiXGWmhKR1xjZWx30uLE8h8A4x50BHJnE+WUb/VmLiSmMtPFX6U96WAtHmsE+7Vvaylm16pKXb
mAZnZxMJTeIGSfVjQvG9j+Rd7vTbRC/8tivIeJXbxk8y6TJgeIaJvBjHylSeCEG96XWyuGWURz7E
L5W+uhg3Dl2pnRAt+q7Yyjma56O8NKqnQqT2q6re1VmqX3oo4SvdQoptZpKBU3qhuH2sBbvjSi0P
lln59hj1e52shtCh305mzrSpLck+FIjL3UipejYjuvFgw/erhn4+zHN0HgYj33Kif+vMVHUbdZDc
XnUEPID0rYhbchhwix4o2WUdXSWOKwgj4I/UJT3VdBhiSP3HnsFErZbiDF2j2MyKsglJX9jULT7j
ab7T4ly/DXsBgTw0tqxDl6CfDSzkAEExfHAB2IHSbF8f2JLUK9S72hEkUbiO0Z31DJvUMtpfNFVE
GyiZoPAqc8dJkO6ofpPnYLRbwpt0txhVLKyy5tAXjtKD1hIroUaEsCxrHuVCLSxKo1M8rlAQu7rt
zPatb+LxN/pPSpg/Dby01W2Un1SkNQUKC00p7ecVBKFbIf0/S7pPsgYcGBgUVy1YnTu0pX2sgvvF
AcWS1vZhnkbaJlbveCArYskSe04WrG2pMx8nsRjs1zi98mJ4jpq28hSm9/0QTd+IOTUeRH6AdYA7
n9ASrHAZ3k8beN1WaiojyKuqO0jYHfMYn2FtV58mR0/9epn6/WhwJGN6E97YzeoJVaEITPphmLot
KwCpRStexTAh+oQdRdsFuarAzdeKdzPUeng1ve1SVu/csgqH46JiEkaMO3tRcarROm8g/E+uHoe8
/ySSwJBVaskeuUWvU65FO2T3+bFpabeVU7ajlneQM4tQCxKBg1EahMdGaD4ByYY13klqMHNinaCV
OF4nUx1JULQy92T6toNx7/cTIAf4nAmBwZJxrGf5ecjjL0MlXnGwOlt1iDCgmygdFJDn9P2R4hML
1Vqg6Ttz2ZBiagcWNX3PEcV4aKhXJhU7qIUT+GhSUnSjQRs2IuxGdImdfh4LrXLtGV4kZFjWZUYa
HUXEz9tNCaWOKUsYANItGxZMX4IIGqdKzx1yGb8ps8IrozE92VH6raQAs63neyE58Yb9LbGFmtTe
q4ncn7LafNQKj/J0flLAiK4QwlO/WNHt9WI3Df1vuijmelD+Z7WwHrTaSliWbdMErgZq+eeDdqyV
VoqWJrxvw8nxnSFyjqFZOaSVAcSWdfW5avIdZfXpfjDeksUBiGIQRIxMhDZ//VUOta1UZGkgyRmr
YBg/vlBLdUO8x3SiW9kh77+nMJYcps6UtkTA3EkGEWh2QZCb7UCdq3Kr8IQji60OVkvUbR4Ytjp4
2DQdz7GbAcAZ0ck1ibcu0NBls4gJrGWEPCk3x3DLx3g1xagQeoCMZWqXoCNBY5juitCyT2AyW9yB
IB4ouBECF2YNi2h+NJMoPIcW5WItyg4wTuexEjRPxhiQlNTdYprJ/TLMrK1FsGEtemnz61WDvu4n
Pnzx+rq3oS4saxb4t5+/+AIYcqPEkXWfmQtAnkSZLnXF6PlJ70HJFpOzbGUdzRgp3Zux68g6io9l
K/pTZSh4S3Upuc/LC+IoKai7bN7gQzT9Pq2e5VA2jkNNHiaRf85lReUzr2huaSvGpWhkOuNxBkJa
T/co5zNqHhXurLK1dqUKRbw0ID6STJQ+KjA0stT+DP27PCxDHHuFGhakSNouIND2oYvClpQRUsFY
Je8lvQ0Pv/6OKH3/ly+JCjp1Awogqv7xSxrzRjRY1Yx71ojMmAnQH6HckVTVH5p4kLf8zU+mmqSe
OYCekPtlYruSDB6cBX2fE9VAaiG46bTtO9a+0+iRFcWyVq8jv7KqOiBGQiFCRDkCilzOslP01Jzz
hnG7MPdIvoYDwZ1nq05eyl7Wd2V7ivPhJFtVuWmrWNmPZGzBX+g3nZk7W6e1XucYcRGj4vJokePR
TJqzrzTC/7AXk1mY+0plz24jJ8sGqhYhPTYJLoqdzJdMZ5BLxRq8ImDKEkvulk6pH+qusE/gRAQE
pLFH+z+Prp1eEtycn9hygxkWL9cwB9Hr2AFSQLvEM/r9HOuPsoK8QEsX1MwtNRwWEgwkh4iemZfQ
XrpBRzSAlEEHo04bXZLJVmwVyXOqhIym2vhkjpyWI3udYBoLg34eghO9bKPdmBManBSmciz36M6I
YHBMaSexaLpV9JGEJqdpfKnL8vPYzB44LuG3pXkq+6y/F4u8kboQRE5Xm5eFqAk/EXJ8cgzxqdda
ho12IpgvfVWnqftqp6onujUL2AjtXc6aEMmydYtq+huBsjN5cG5Hh9Avct1wlb7Rt9cZSIeNt4rl
T8S4XwRp49mo2DdNLTUbpFtloKv+UmQtacXjvpYl87ASIEqIwIcs8koMmGR/W9KB7PK9DBXhWUsh
fJqzmO9ADx8ak16+mOUX8qmVp3GimJY1rV9M0syuUyIzVkXtOgzYhjrJLo6Jbd121VOuYkura3Y5
WIc3kA5Js24ZeaJ8e+UltdR+IS/0R5qEGB+y8d1SesuXS6qblWjw4KB5eNTEIRZSfKrtqNxUbSZQ
I3PTRjBt5Wj7y5xQsYlVHKcU216VrDjbqTlm+Np1iCasljJq20CJtZnwakI5XAtiH6GpESZesOq/
6S4wmH08ix1NZzuqEIt7Ldis3Ye/7EjtQsn7llrwvWGyOJhyJ/Ero7cOLRWVC5PS/WIy9MOV0G+s
VHpQ45UuWIMJyMap3s5Umz0FXkBgsLubNKM5aomO3zS8lfIC3VZSPBp4BNRuuSOyKt4JbQaURDr9
k2O3uidsE0kv+a7bUq0eAUgaW7ll3r6Os1pDx1dkq0YsJNiDWOaRDPfwGyLueznTnMcoKjYlP/Nl
SEN0heizyECE1cucaQe47CpPHexpywqX7rYj9diQlGwDjZXQYskMdyHBHN4UmwsDeNjBLbc2jTTb
R2mxbcraZbTrcyDzFY7yH+HxRq8diWleQ5ZWAlAR9Z8teAZJki54r1dSeSTHAQnChldUd0PRQaOV
yvhJW+p6lwr+biZNyWMePpj4iwM2QdCDAHztHb3N9r0gVbgOGd1kK7qDRiOfQ6huQKRgSIUm+iS7
ofJhaC+tCd4gntX0ZJIYvB9iPfcjiNaB01tvOd32e0rfJug8AXRekzK3Knf0Y8YjDjgQIwlG72wG
kV0NU71qIaT7TqEnTA1h24L2cQXo1kAUPcYDNnSTsrCaF1K9ybJhW7DYc3MrDy9qXTquBCvEi0kS
2dpxk7tdJxWXdkqpa4zSsxhKQtzXxjlcGsY4s2ebwaKjLFXjWKiPshwj4SwHgnbCfvFCgsSD3ox9
oWEPWfIR1V/vEGyJTCUHD9Zw6NR1F9hVTzHaiQo3jpKXOIkIZoc46Wc9DaCCMrtbZg572BbJf2LO
d3wPkCfTtxGP4UNprhGwSGEPoiraGzPLXBATideNdf4GRYkZN/yKnW/2w44zMlLGbJ+WQqOgGB4x
7qYXYYsDjtHsCUHBKwUbBWkBt7raOTrRcl/XmXaAlaU+ZkWXBpFCprkpnvNWgoqHdOE2jAmbrZqU
EKpWRmwp5zY/oZPe0wCcyPdh+62n38NmfL1icZNnVZMidAzjsplgdWnlnZC+iS4m5rYhzDzOiDaJ
rELbzoNBH0Au7Sd9yfItVcQ6kJKs3KYAUeipm8+4A0wfek57SiPN9EOELFrM/Du1+YwaJxeP2axW
XjcVyT4yiicQdv22J63pUMmPg9aw5EEo99ke8l3dnLsFM/4CRWPTld03RUvs45yrq+N0huXx/7g7
u+amlSQM/5XU3lul0bduTtUmISRAOCxwWLhKicTYim3ZkWwnzq/fZzTjrCU7HJbOxdQOXJHQ0rR6
evrz7Ul5NlLj8r1PgPtf96PlRTxYJ2ejaFChXhebL5MrxA7jaEzP5leQSBAeWq1PZ7GqTjZocUYc
VrRtVd8WDzNw7hMAl4Lb+N06WpDLfpg/Hg9Ai/6wiOpPK7JLZ9P8bkAFSc4U1hW9+/kV4cl1+YBN
Nmg2b0ZMsaxolHoFsOr6ZJXls9ezis7JarQeH8eBGn+dqfTuhKqe9MNtvCDmUN8QpwjeM7gCSLOy
pLlzMn48o/YfpIh11JwsGThUjpbZ5/MK2+ijHno1qB7Vuywa/3V7tRy8WozonVjW53cbkDOBgJ+9
TRYbzED8p+PVILo6nw2y5kzVwCWHt2r9US3OAH6bv/KXDcPgmPH4eDyrrz48xAROo3U1vZiN1gyS
icKrN9FkVsMoRoqliiHPVVMGaB3GBC3v7j+N5tPpZZBtHl6HlE7OKOs+bs3mTVwsp4v6Auf9E8Br
k5PNJqcVcwAkT1meTvPN68Xq9nrKtOAzegP8d8Gdf/wILMHpfXo1PpnPmduSbK7eDe7vHt/fryej
43yhO3ujCGPWV9n5owpBokgpTW++peoxOPdnm4eLXGEkTJa3dPGW6T01tADWESxmJNnMP15n4CYE
YQ7T8g8clvrNrb+6fz8FuYlYU/hjegfU1+SBVrBoU/05qsfBccSwhLcp9d8fJ3VyludfFKO/v2bE
zpkaH/vHD+NVc55gu5ub8v8ms7SThNpLLT0lW3RaqJ239Hn+e7+0zeIcJtTJVV3PV9VSZ75ICla7
iacgIr3TyVS1r9TmyX5GYVqQTlvdkMwKcy/WKMNAGP3jaDqvRvbfB3nuIWlhQOYpbxeOG0/a4c1z
u//5xvbTd/t0Oq/+bKIuJFHGS//K9ns0Otun/oeKEJ/yWr2IC+xyQSnlJSllV0FiHuXQ/lUeY2HK
tk+mMqcyMlR2+yTed7efBx4lx3hXSEG78O7dEgLgVBR2uIwLmcdgDLYYKbNLCPa5kNKvHzJgql3u
iYLvm+NpkvtPKmVfETx/EgIvTRIK3nU+TS8I7jIhS7wsIuhLHbBhAilqt0SB8j1dOCIShcj3VECG
Po6t1usdiCz3eIyWBHtgnOMCvqd5J4EopF4AsDGVSVYUUDO7oqBU7iVUK5B7jYwsuCYKNM4FRlUJ
uBAj8Mh6xLScdvVFIfGo74BR2wNj1JBTF4SOxorOQxh5becRrTCGCYfuxyRiWEWctFrD3EgOMYHY
s26pEnFBa4VQV+GEhy+INNJGQhz4yjApN1aZS1xQgIxKuZB66P9Y5WnUfur+DaF81ELEdZzooiO3
7oY0zcVXg/Low6NMkTrFrajvasWUC5QGVIYyOmckAd6os7iiMxBkHlFNvm6IHO3uO8NGzNIwor3t
SSwc+/iJnsAo2n1IFR6D0wBqDQ5+fHJEXhyl9Ao65yZRN6i9GtH2o9BjaFOi8q3s94zDVJ+NFMBn
Z+/CjPyvkAm4yqSR2aVuxWxX9yCksYetkESAj5ofO6cHaHQJxKIQcBJyPO9nXEb6KzzUBPVhlOVZ
LrmlDnIVkn8VnQetDhjORm+2dYZ6ZlHKVUnCO8tSKyrOiQLjt8R+c6Qt4LYp2UYHen5CHnm0XYbc
Pe6ZxqjxXwyd/cxjpldCf+TDQpCFHiCKtMPTW9Uu564GlXNpS4+C71F9i2LURQu7dkGuiC3pQdXb
AKJzRqGi4kK6/SjyaB30U4IGRtv1vESl8A3inAa7yLlDwGVuT+bve8nsn9b8gD+9z485TKlVQpkr
APl6OacCCeRkUqsYm4AoCbgc9q7TsZfdQ0DUDI+A7BadHe1y8BDQTSzUAVGAEEQMsogOe4Z5SJLB
pyXGtz93L4CaKN3TLDUKAJznMmD4X7v61yFhZvqjibZbo8Cw3aEoASATuiVWxgXMP4UjQD+14UJf
L2QeNc8JWBY2lmLY7hAXaAvWIBtiLoDZQrtX7z7IYhQCAkKXl1GLzikE2uE1uIBo+1GK6QPQcUbY
zKyuWuTT4yvp6vFtxKx9oEtCoLtdpFyIsY/JqVDQbZjQ8xKS3Avo9KarxgZX3ZMFn9COkAvaV4pb
/KKuDKSJl9LwmwNpZLhjTDGHZIAOB3kAXSHoehIJMbiDl0LuhSTVuDOsE2HClA5xIfBjPcVbpg8C
j3xRyCR7rMBd+4jAUaKRGgmqGiFwbvtoQ3FWkSNAZpU5X4h7u3qKIPPJp4UpKQYrJM4dhUDnhqVC
wLcGeIPSWMMEHZHvyUKsewt1Oqld7nEB9DmplYitjMojK6UVa2f7MewhKpGRYWmXUbwuaQISv9JA
Ov5iprGCOAtmlz0hwD6ixxSHSrtVejnnKlBx4ovdRnJFqBVyhmaTe24jmTSqWokZ2HSDe1wgrGc8
+t+PHeA8Mz0iIoRoM0c9h0mpBDbEoU47be9OriGXTgRj/8RpVXInoBGF5E+MhYBw7eoFCvGIr2nz
wNkaLMokpBZCSP6MMWMEEQwT/J4s5LiV9PD5Pplcs9rbyCVZoB9WrBciD784TFVkZQG27soCQ/g8
0HEwFDTcgWNnIUyU9HLUUkBTcQp8t/nI/TuS8ivgS+gmtGfBMNwlKaDZUew34hxTc0luxQaSelJA
xj31ScVqVEs3zwLvFkllQccQlKI0GYyPdvVkQQU+iUYdq7Flm86dCNxHjeYq8pzCkEwjLnKw9R/7
suCTZSHDRKGy4ZJ7lkJE4YCQC9Qf5AwCpPDSRs16YXYjCzDBJvldUgjYcdLLkfqzLKce0yo9v385
km4G1inTgWcjBO550Rr0SioEXI7cMUBnPaMQCCqifDEnravqkBSEQBWJ/WcyiYRTidFvk01d44Da
ZCLOGMv5/16I9Quseup8YXjP9KbteSmHzQ4k29/+wrYxZJ+AbfjQ8Gu6paXzixquzZAePsG3/dFJ
yrcewc4Ptx5C+xz73+0G9x/dedZ2V9t/PC+HdVFfA2LUPtq+poGB++e0+F7Mit12HLwUjvp/32QP
Ze7pKvgbws2kR1fHosV06/JxXnUJ5zrAKSc8KaqmaLaUWhS9tjlFSvmkmJY/5nVVdt7alLiLaTMR
ty5u5rtvDWQA96ecMgiy18sSnP0tMc0SU4MqJX46nII/WA93KZviNjFlC4Z4NP9xdELT7ex7l+2m
bkr6FOaP1OVN53va8lQpZTAm61H3lbELdJmPlPLziI9PGun3jvrFTTHuCKAtSZG+8MWUeVTMqdpu
vT2Rpj1GTJpBI0VPi5hCCjHl+X1XLECcw+aXkn27r5tMsl9MGAKr68lm+4otk03uWEoahJCy2WOz
qdaS0r5kKmdHe1Cj9xLXy2VRb6ZFdbPLDiKYL/EJL4umKa7pNh4ulx2ZtrkpMUvKa+Abim5rrQl2
y0lzFzCwoCPZtvhSTrtpSv4uFmWH6SZA/RLU56u6T1pXjYpJzxml3tUhgWlQkVJ+P/xeFz3riQpE
HaSVk14X3XsLZ0PHwOWE74/Oi9miGZfda91W7r8E/TfDuhl2NJXti3oJ4pfDh/K6c41BXMdCX4L4
t3k92VLSGhbSOpwgJq2Bl49OCkDpyp4kmjjmyzzglLlzvbNvymuk5P8cl12Om7ijmOxkikXS9Woo
1dLhfTHpejjqoxe0kSEp4Q/Dqmo203XRcxMCE3mRkv84nt8Mjy6avbvNpMSl5D9pmO+DgmjDhy/z
gH1B1OQJyUjJf4b7w6YZdkwK238rp/3Q9SptRY6U7l/LYrzdudYpFklCSvbLsJ5xs3UomxJrMeUS
z6Yn3rZYU0r63wX3DtPPukfTBvDFxEG+P/py6OVNVY2Yftlcz4Hk6VhuNtYmpr2ZMyFg1Pmapn/q
55QPRZqektb78actHsqh/9YNrunfuJ4Oi/qP/wAAAP//</cx:binary>
              </cx:geoCache>
            </cx:geography>
          </cx:layoutPr>
          <cx:valueColors>
            <cx:minColor>
              <a:srgbClr val="9BF8F2"/>
            </cx:minColor>
            <cx:midColor>
              <a:schemeClr val="accent6">
                <a:lumMod val="60000"/>
                <a:lumOff val="40000"/>
              </a:schemeClr>
            </cx:midColor>
            <cx:maxColor>
              <a:schemeClr val="accent6">
                <a:lumMod val="50000"/>
              </a:schemeClr>
            </cx:maxColor>
          </cx:valueColors>
          <cx:valueColorPositions count="3"/>
        </cx:series>
      </cx:plotAreaRegion>
    </cx:plotArea>
  </cx:chart>
  <cx:spPr>
    <a:noFill/>
    <a:ln>
      <a:noFill/>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AD$5"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firstButton="1" fmlaLink="$AC$34"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AH$5"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AH$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AH$6"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AH$9"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AH$7"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fmlaLink="$AH$8"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firstButton="1" fmlaLink="$A$5"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Radio" checked="Checked" firstButton="1" fmlaLink="$A$37"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hyperlink" Target="#Distribution!A1"/><Relationship Id="rId13" Type="http://schemas.openxmlformats.org/officeDocument/2006/relationships/image" Target="../media/image35.png"/><Relationship Id="rId3" Type="http://schemas.openxmlformats.org/officeDocument/2006/relationships/chart" Target="../charts/chart2.xml"/><Relationship Id="rId7" Type="http://schemas.openxmlformats.org/officeDocument/2006/relationships/image" Target="../media/image34.png"/><Relationship Id="rId12" Type="http://schemas.openxmlformats.org/officeDocument/2006/relationships/hyperlink" Target="https://www.linkedin.com/in/lakhanpal-saurabh/" TargetMode="External"/><Relationship Id="rId2" Type="http://schemas.openxmlformats.org/officeDocument/2006/relationships/chart" Target="../charts/chart1.xml"/><Relationship Id="rId1" Type="http://schemas.openxmlformats.org/officeDocument/2006/relationships/image" Target="../media/image33.jpeg"/><Relationship Id="rId6" Type="http://schemas.openxmlformats.org/officeDocument/2006/relationships/chart" Target="../charts/chart5.xml"/><Relationship Id="rId11" Type="http://schemas.openxmlformats.org/officeDocument/2006/relationships/hyperlink" Target="#'Sales Map'!A1"/><Relationship Id="rId5" Type="http://schemas.openxmlformats.org/officeDocument/2006/relationships/chart" Target="../charts/chart4.xml"/><Relationship Id="rId10" Type="http://schemas.openxmlformats.org/officeDocument/2006/relationships/hyperlink" Target="#Trends!A1"/><Relationship Id="rId4" Type="http://schemas.openxmlformats.org/officeDocument/2006/relationships/chart" Target="../charts/chart3.xml"/><Relationship Id="rId9" Type="http://schemas.openxmlformats.org/officeDocument/2006/relationships/hyperlink" Target="#'Sales &amp; Profit'!A1"/><Relationship Id="rId14" Type="http://schemas.openxmlformats.org/officeDocument/2006/relationships/image" Target="../media/image36.emf"/></Relationships>
</file>

<file path=xl/drawings/_rels/drawing2.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7.xml"/><Relationship Id="rId7" Type="http://schemas.openxmlformats.org/officeDocument/2006/relationships/hyperlink" Target="#Trends!A1"/><Relationship Id="rId2" Type="http://schemas.openxmlformats.org/officeDocument/2006/relationships/chart" Target="../charts/chart6.xml"/><Relationship Id="rId1" Type="http://schemas.openxmlformats.org/officeDocument/2006/relationships/image" Target="../media/image38.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5.png"/><Relationship Id="rId4" Type="http://schemas.openxmlformats.org/officeDocument/2006/relationships/image" Target="../media/image34.png"/><Relationship Id="rId9" Type="http://schemas.openxmlformats.org/officeDocument/2006/relationships/hyperlink" Target="https://www.linkedin.com/in/lakhanpal-saurabh/"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Trends!A1"/><Relationship Id="rId13" Type="http://schemas.microsoft.com/office/2007/relationships/hdphoto" Target="../media/hdphoto1.wdp"/><Relationship Id="rId3" Type="http://schemas.openxmlformats.org/officeDocument/2006/relationships/chart" Target="../charts/chart8.xml"/><Relationship Id="rId7" Type="http://schemas.openxmlformats.org/officeDocument/2006/relationships/hyperlink" Target="#'Sales &amp; Profit'!A1"/><Relationship Id="rId12"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jpeg"/><Relationship Id="rId6" Type="http://schemas.openxmlformats.org/officeDocument/2006/relationships/hyperlink" Target="#Distribution!A1"/><Relationship Id="rId11" Type="http://schemas.openxmlformats.org/officeDocument/2006/relationships/image" Target="../media/image35.png"/><Relationship Id="rId5" Type="http://schemas.openxmlformats.org/officeDocument/2006/relationships/image" Target="../media/image34.png"/><Relationship Id="rId10" Type="http://schemas.openxmlformats.org/officeDocument/2006/relationships/hyperlink" Target="https://www.linkedin.com/in/lakhanpal-saurabh/" TargetMode="External"/><Relationship Id="rId4" Type="http://schemas.openxmlformats.org/officeDocument/2006/relationships/chart" Target="../charts/chart9.xml"/><Relationship Id="rId9" Type="http://schemas.openxmlformats.org/officeDocument/2006/relationships/hyperlink" Target="#'Sales Map'!A1"/><Relationship Id="rId14" Type="http://schemas.openxmlformats.org/officeDocument/2006/relationships/image" Target="../media/image42.png"/></Relationships>
</file>

<file path=xl/drawings/_rels/drawing4.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10.xml"/><Relationship Id="rId7" Type="http://schemas.openxmlformats.org/officeDocument/2006/relationships/hyperlink" Target="#Trends!A1"/><Relationship Id="rId2" Type="http://schemas.microsoft.com/office/2014/relationships/chartEx" Target="../charts/chartEx1.xml"/><Relationship Id="rId1" Type="http://schemas.openxmlformats.org/officeDocument/2006/relationships/image" Target="../media/image43.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5.png"/><Relationship Id="rId4" Type="http://schemas.openxmlformats.org/officeDocument/2006/relationships/image" Target="../media/image34.png"/><Relationship Id="rId9" Type="http://schemas.openxmlformats.org/officeDocument/2006/relationships/hyperlink" Target="https://www.linkedin.com/in/lakhanpal-saurabh/" TargetMode="Externa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7.emf"/><Relationship Id="rId3" Type="http://schemas.openxmlformats.org/officeDocument/2006/relationships/image" Target="../media/image30.emf"/><Relationship Id="rId21" Type="http://schemas.openxmlformats.org/officeDocument/2006/relationships/image" Target="../media/image12.emf"/><Relationship Id="rId7" Type="http://schemas.openxmlformats.org/officeDocument/2006/relationships/image" Target="../media/image26.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8.emf"/><Relationship Id="rId33" Type="http://schemas.openxmlformats.org/officeDocument/2006/relationships/image" Target="../media/image37.png"/><Relationship Id="rId2" Type="http://schemas.openxmlformats.org/officeDocument/2006/relationships/image" Target="../media/image32.emf"/><Relationship Id="rId16" Type="http://schemas.openxmlformats.org/officeDocument/2006/relationships/image" Target="../media/image17.emf"/><Relationship Id="rId20" Type="http://schemas.openxmlformats.org/officeDocument/2006/relationships/image" Target="../media/image13.emf"/><Relationship Id="rId29" Type="http://schemas.openxmlformats.org/officeDocument/2006/relationships/image" Target="../media/image4.emf"/><Relationship Id="rId1" Type="http://schemas.openxmlformats.org/officeDocument/2006/relationships/image" Target="../media/image31.emf"/><Relationship Id="rId6" Type="http://schemas.openxmlformats.org/officeDocument/2006/relationships/image" Target="../media/image27.emf"/><Relationship Id="rId11" Type="http://schemas.openxmlformats.org/officeDocument/2006/relationships/image" Target="../media/image22.emf"/><Relationship Id="rId24" Type="http://schemas.openxmlformats.org/officeDocument/2006/relationships/image" Target="../media/image9.emf"/><Relationship Id="rId32" Type="http://schemas.openxmlformats.org/officeDocument/2006/relationships/image" Target="../media/image1.emf"/><Relationship Id="rId5" Type="http://schemas.openxmlformats.org/officeDocument/2006/relationships/image" Target="../media/image28.emf"/><Relationship Id="rId15" Type="http://schemas.openxmlformats.org/officeDocument/2006/relationships/image" Target="../media/image18.emf"/><Relationship Id="rId23" Type="http://schemas.openxmlformats.org/officeDocument/2006/relationships/image" Target="../media/image10.emf"/><Relationship Id="rId28" Type="http://schemas.openxmlformats.org/officeDocument/2006/relationships/image" Target="../media/image5.emf"/><Relationship Id="rId10" Type="http://schemas.openxmlformats.org/officeDocument/2006/relationships/image" Target="../media/image23.emf"/><Relationship Id="rId19" Type="http://schemas.openxmlformats.org/officeDocument/2006/relationships/image" Target="../media/image14.emf"/><Relationship Id="rId31" Type="http://schemas.openxmlformats.org/officeDocument/2006/relationships/image" Target="../media/image2.emf"/><Relationship Id="rId4" Type="http://schemas.openxmlformats.org/officeDocument/2006/relationships/image" Target="../media/image29.emf"/><Relationship Id="rId9" Type="http://schemas.openxmlformats.org/officeDocument/2006/relationships/image" Target="../media/image24.emf"/><Relationship Id="rId14" Type="http://schemas.openxmlformats.org/officeDocument/2006/relationships/image" Target="../media/image19.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3.emf"/><Relationship Id="rId8"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7</xdr:col>
      <xdr:colOff>504825</xdr:colOff>
      <xdr:row>0</xdr:row>
      <xdr:rowOff>19050</xdr:rowOff>
    </xdr:from>
    <xdr:to>
      <xdr:col>30</xdr:col>
      <xdr:colOff>123825</xdr:colOff>
      <xdr:row>57</xdr:row>
      <xdr:rowOff>114300</xdr:rowOff>
    </xdr:to>
    <xdr:pic>
      <xdr:nvPicPr>
        <xdr:cNvPr id="60" name="Picture 59">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
          <a:alphaModFix amt="35000"/>
          <a:extLst>
            <a:ext uri="{28A0092B-C50C-407E-A947-70E740481C1C}">
              <a14:useLocalDpi xmlns:a14="http://schemas.microsoft.com/office/drawing/2010/main" val="0"/>
            </a:ext>
          </a:extLst>
        </a:blip>
        <a:srcRect/>
        <a:stretch>
          <a:fillRect/>
        </a:stretch>
      </xdr:blipFill>
      <xdr:spPr bwMode="auto">
        <a:xfrm>
          <a:off x="4772025" y="19050"/>
          <a:ext cx="13639800" cy="932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14</xdr:col>
      <xdr:colOff>390525</xdr:colOff>
      <xdr:row>18</xdr:row>
      <xdr:rowOff>104774</xdr:rowOff>
    </xdr:from>
    <xdr:to>
      <xdr:col>20</xdr:col>
      <xdr:colOff>571500</xdr:colOff>
      <xdr:row>43</xdr:row>
      <xdr:rowOff>47624</xdr:rowOff>
    </xdr:to>
    <xdr:grpSp>
      <xdr:nvGrpSpPr>
        <xdr:cNvPr id="96" name="Group 95">
          <a:extLst>
            <a:ext uri="{FF2B5EF4-FFF2-40B4-BE49-F238E27FC236}">
              <a16:creationId xmlns:a16="http://schemas.microsoft.com/office/drawing/2014/main" id="{00000000-0008-0000-0000-000060000000}"/>
            </a:ext>
          </a:extLst>
        </xdr:cNvPr>
        <xdr:cNvGrpSpPr/>
      </xdr:nvGrpSpPr>
      <xdr:grpSpPr>
        <a:xfrm>
          <a:off x="8924925" y="3019424"/>
          <a:ext cx="3838575" cy="3990975"/>
          <a:chOff x="7448550" y="2486024"/>
          <a:chExt cx="3838575" cy="3990975"/>
        </a:xfrm>
      </xdr:grpSpPr>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7448550" y="2486024"/>
          <a:ext cx="3838575" cy="399097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4" name="Group 13">
            <a:extLst>
              <a:ext uri="{FF2B5EF4-FFF2-40B4-BE49-F238E27FC236}">
                <a16:creationId xmlns:a16="http://schemas.microsoft.com/office/drawing/2014/main" id="{00000000-0008-0000-0000-00000E000000}"/>
              </a:ext>
            </a:extLst>
          </xdr:cNvPr>
          <xdr:cNvGrpSpPr/>
        </xdr:nvGrpSpPr>
        <xdr:grpSpPr>
          <a:xfrm>
            <a:off x="8197837" y="3311511"/>
            <a:ext cx="2340000" cy="2340000"/>
            <a:chOff x="8197837" y="3311511"/>
            <a:chExt cx="2340000" cy="2340000"/>
          </a:xfrm>
        </xdr:grpSpPr>
        <xdr:sp macro="" textlink="">
          <xdr:nvSpPr>
            <xdr:cNvPr id="16" name="Oval 15">
              <a:extLst>
                <a:ext uri="{FF2B5EF4-FFF2-40B4-BE49-F238E27FC236}">
                  <a16:creationId xmlns:a16="http://schemas.microsoft.com/office/drawing/2014/main" id="{00000000-0008-0000-0000-000010000000}"/>
                </a:ext>
              </a:extLst>
            </xdr:cNvPr>
            <xdr:cNvSpPr/>
          </xdr:nvSpPr>
          <xdr:spPr>
            <a:xfrm>
              <a:off x="8197837" y="3311511"/>
              <a:ext cx="2340000" cy="2340000"/>
            </a:xfrm>
            <a:prstGeom prst="ellipse">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8" name="Oval 17">
              <a:extLst>
                <a:ext uri="{FF2B5EF4-FFF2-40B4-BE49-F238E27FC236}">
                  <a16:creationId xmlns:a16="http://schemas.microsoft.com/office/drawing/2014/main" id="{00000000-0008-0000-0000-000012000000}"/>
                </a:ext>
              </a:extLst>
            </xdr:cNvPr>
            <xdr:cNvSpPr/>
          </xdr:nvSpPr>
          <xdr:spPr>
            <a:xfrm>
              <a:off x="8467837" y="3581511"/>
              <a:ext cx="1800000" cy="1800000"/>
            </a:xfrm>
            <a:prstGeom prst="ellipse">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9" name="Oval 18">
              <a:extLst>
                <a:ext uri="{FF2B5EF4-FFF2-40B4-BE49-F238E27FC236}">
                  <a16:creationId xmlns:a16="http://schemas.microsoft.com/office/drawing/2014/main" id="{00000000-0008-0000-0000-000013000000}"/>
                </a:ext>
              </a:extLst>
            </xdr:cNvPr>
            <xdr:cNvSpPr/>
          </xdr:nvSpPr>
          <xdr:spPr>
            <a:xfrm>
              <a:off x="8737837" y="3851511"/>
              <a:ext cx="1260000" cy="1260000"/>
            </a:xfrm>
            <a:prstGeom prst="ellipse">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74" name="Group 73">
              <a:extLst>
                <a:ext uri="{FF2B5EF4-FFF2-40B4-BE49-F238E27FC236}">
                  <a16:creationId xmlns:a16="http://schemas.microsoft.com/office/drawing/2014/main" id="{00000000-0008-0000-0000-00004A000000}"/>
                </a:ext>
              </a:extLst>
            </xdr:cNvPr>
            <xdr:cNvGrpSpPr/>
          </xdr:nvGrpSpPr>
          <xdr:grpSpPr>
            <a:xfrm>
              <a:off x="8743950" y="4152899"/>
              <a:ext cx="1247775" cy="657225"/>
              <a:chOff x="7753350" y="3743325"/>
              <a:chExt cx="1247775" cy="657225"/>
            </a:xfrm>
          </xdr:grpSpPr>
          <xdr:sp macro="" textlink="Pivot_tables!Q7">
            <xdr:nvSpPr>
              <xdr:cNvPr id="75" name="TextBox 74">
                <a:extLst>
                  <a:ext uri="{FF2B5EF4-FFF2-40B4-BE49-F238E27FC236}">
                    <a16:creationId xmlns:a16="http://schemas.microsoft.com/office/drawing/2014/main" id="{00000000-0008-0000-0000-00004B000000}"/>
                  </a:ext>
                </a:extLst>
              </xdr:cNvPr>
              <xdr:cNvSpPr txBox="1"/>
            </xdr:nvSpPr>
            <xdr:spPr>
              <a:xfrm>
                <a:off x="7786687" y="3743325"/>
                <a:ext cx="1181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F921F0E-066B-4447-B535-B927CBFFB303}" type="TxLink">
                  <a:rPr lang="en-US" sz="2400" b="0" i="0" u="none" strike="noStrike">
                    <a:solidFill>
                      <a:schemeClr val="bg1"/>
                    </a:solidFill>
                    <a:latin typeface="Arial"/>
                    <a:cs typeface="Arial"/>
                  </a:rPr>
                  <a:pPr algn="ctr"/>
                  <a:t>100%</a:t>
                </a:fld>
                <a:endParaRPr lang="en-CA" sz="6600">
                  <a:solidFill>
                    <a:schemeClr val="bg1"/>
                  </a:solidFill>
                  <a:latin typeface="Avenir Next LT Pro" panose="020B0504020202020204" pitchFamily="34" charset="0"/>
                </a:endParaRPr>
              </a:p>
            </xdr:txBody>
          </xdr:sp>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7753350" y="4124325"/>
                <a:ext cx="124777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CA" sz="1200" b="0" i="0" u="none" strike="noStrike">
                    <a:solidFill>
                      <a:schemeClr val="bg1"/>
                    </a:solidFill>
                    <a:effectLst/>
                    <a:latin typeface="Avenir Next LT Pro" panose="020B0504020202020204" pitchFamily="34" charset="0"/>
                    <a:ea typeface="+mn-ea"/>
                    <a:cs typeface="+mn-cs"/>
                  </a:rPr>
                  <a:t>Of  Total Sale</a:t>
                </a:r>
                <a:endParaRPr lang="en-CA" sz="1200">
                  <a:solidFill>
                    <a:schemeClr val="bg1"/>
                  </a:solidFill>
                  <a:latin typeface="Avenir Next LT Pro" panose="020B0504020202020204" pitchFamily="34" charset="0"/>
                </a:endParaRPr>
              </a:p>
            </xdr:txBody>
          </xdr:sp>
        </xdr:grpSp>
      </xdr:grpSp>
    </xdr:grpSp>
    <xdr:clientData/>
  </xdr:twoCellAnchor>
  <xdr:twoCellAnchor editAs="absolute">
    <xdr:from>
      <xdr:col>10</xdr:col>
      <xdr:colOff>66675</xdr:colOff>
      <xdr:row>6</xdr:row>
      <xdr:rowOff>76198</xdr:rowOff>
    </xdr:from>
    <xdr:to>
      <xdr:col>25</xdr:col>
      <xdr:colOff>285750</xdr:colOff>
      <xdr:row>55</xdr:row>
      <xdr:rowOff>76200</xdr:rowOff>
    </xdr:to>
    <xdr:graphicFrame macro="">
      <xdr:nvGraphicFramePr>
        <xdr:cNvPr id="59" name="Chart 21">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27</xdr:col>
      <xdr:colOff>38099</xdr:colOff>
      <xdr:row>9</xdr:row>
      <xdr:rowOff>138112</xdr:rowOff>
    </xdr:from>
    <xdr:to>
      <xdr:col>28</xdr:col>
      <xdr:colOff>409575</xdr:colOff>
      <xdr:row>51</xdr:row>
      <xdr:rowOff>147638</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16497299" y="1595437"/>
          <a:ext cx="981076" cy="6810376"/>
          <a:chOff x="16934273" y="1085850"/>
          <a:chExt cx="981076" cy="6867526"/>
        </a:xfrm>
      </xdr:grpSpPr>
      <xdr:grpSp>
        <xdr:nvGrpSpPr>
          <xdr:cNvPr id="15" name="Group 14">
            <a:extLst>
              <a:ext uri="{FF2B5EF4-FFF2-40B4-BE49-F238E27FC236}">
                <a16:creationId xmlns:a16="http://schemas.microsoft.com/office/drawing/2014/main" id="{00000000-0008-0000-0000-00000F000000}"/>
              </a:ext>
            </a:extLst>
          </xdr:cNvPr>
          <xdr:cNvGrpSpPr/>
        </xdr:nvGrpSpPr>
        <xdr:grpSpPr>
          <a:xfrm>
            <a:off x="16974811" y="1085850"/>
            <a:ext cx="900000" cy="1143000"/>
            <a:chOff x="16980693" y="1209675"/>
            <a:chExt cx="900000" cy="1143000"/>
          </a:xfrm>
        </xdr:grpSpPr>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6980693" y="1209675"/>
              <a:ext cx="900000" cy="1143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6987780" y="1866900"/>
              <a:ext cx="885826" cy="46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chemeClr val="bg1"/>
                  </a:solidFill>
                  <a:latin typeface="Avenir Next LT Pro" panose="020B0504020202020204" pitchFamily="34" charset="0"/>
                  <a:cs typeface="+mn-cs"/>
                </a:rPr>
                <a:t>Average</a:t>
              </a:r>
              <a:endParaRPr lang="en-US" sz="1500" b="0" i="0" u="none" strike="noStrike" baseline="0">
                <a:solidFill>
                  <a:schemeClr val="bg1"/>
                </a:solidFill>
                <a:latin typeface="Avenir Next LT Pro" panose="020B0504020202020204" pitchFamily="34" charset="0"/>
                <a:cs typeface="+mn-cs"/>
              </a:endParaRPr>
            </a:p>
            <a:p>
              <a:pPr algn="ctr"/>
              <a:r>
                <a:rPr lang="en-US" sz="900" b="0" i="0" u="none" strike="noStrike" baseline="0">
                  <a:solidFill>
                    <a:schemeClr val="bg1"/>
                  </a:solidFill>
                  <a:latin typeface="Avenir Next LT Pro" panose="020B0504020202020204" pitchFamily="34" charset="0"/>
                  <a:cs typeface="+mn-cs"/>
                </a:rPr>
                <a:t>Monthly Sale</a:t>
              </a:r>
              <a:endParaRPr lang="en-US" sz="900" b="0" i="0" u="none" strike="noStrike">
                <a:solidFill>
                  <a:schemeClr val="bg1"/>
                </a:solidFill>
                <a:latin typeface="Avenir Next LT Pro" panose="020B0504020202020204" pitchFamily="34" charset="0"/>
                <a:cs typeface="+mn-cs"/>
              </a:endParaRPr>
            </a:p>
          </xdr:txBody>
        </xdr:sp>
        <xdr:sp macro="" textlink="Pivot_tables!E28">
          <xdr:nvSpPr>
            <xdr:cNvPr id="12" name="TextBox 11">
              <a:extLst>
                <a:ext uri="{FF2B5EF4-FFF2-40B4-BE49-F238E27FC236}">
                  <a16:creationId xmlns:a16="http://schemas.microsoft.com/office/drawing/2014/main" id="{00000000-0008-0000-0000-00000C000000}"/>
                </a:ext>
              </a:extLst>
            </xdr:cNvPr>
            <xdr:cNvSpPr txBox="1"/>
          </xdr:nvSpPr>
          <xdr:spPr>
            <a:xfrm>
              <a:off x="16987780" y="160496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4295E37B-7B29-4E56-BF6D-B227847F9A7D}" type="TxLink">
                <a:rPr lang="en-US" sz="1400" b="0" i="0" u="none" strike="noStrike">
                  <a:solidFill>
                    <a:schemeClr val="bg1"/>
                  </a:solidFill>
                  <a:latin typeface="Arial"/>
                  <a:cs typeface="Arial"/>
                </a:rPr>
                <a:pPr algn="ctr"/>
                <a:t> 313,587 </a:t>
              </a:fld>
              <a:endParaRPr lang="en-US" sz="2400" b="0" i="0" u="none" strike="noStrike">
                <a:solidFill>
                  <a:schemeClr val="bg1"/>
                </a:solidFill>
                <a:latin typeface="Avenir Next LT Pro" panose="020B0504020202020204" pitchFamily="34" charset="0"/>
                <a:cs typeface="+mn-cs"/>
              </a:endParaRP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7021175" y="1304925"/>
              <a:ext cx="3524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rgbClr val="FFC000"/>
                  </a:solidFill>
                  <a:latin typeface="Arial"/>
                  <a:cs typeface="Arial"/>
                </a:rPr>
                <a:t>X̅ </a:t>
              </a:r>
            </a:p>
          </xdr:txBody>
        </xdr:sp>
      </xdr:grpSp>
      <xdr:grpSp>
        <xdr:nvGrpSpPr>
          <xdr:cNvPr id="36" name="Group 35">
            <a:extLst>
              <a:ext uri="{FF2B5EF4-FFF2-40B4-BE49-F238E27FC236}">
                <a16:creationId xmlns:a16="http://schemas.microsoft.com/office/drawing/2014/main" id="{00000000-0008-0000-0000-000024000000}"/>
              </a:ext>
            </a:extLst>
          </xdr:cNvPr>
          <xdr:cNvGrpSpPr/>
        </xdr:nvGrpSpPr>
        <xdr:grpSpPr>
          <a:xfrm>
            <a:off x="16974755" y="2471737"/>
            <a:ext cx="900113" cy="2619376"/>
            <a:chOff x="16978242" y="2581275"/>
            <a:chExt cx="900113" cy="2619376"/>
          </a:xfrm>
        </xdr:grpSpPr>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16978298" y="2581275"/>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32" name="Group 31">
              <a:extLst>
                <a:ext uri="{FF2B5EF4-FFF2-40B4-BE49-F238E27FC236}">
                  <a16:creationId xmlns:a16="http://schemas.microsoft.com/office/drawing/2014/main" id="{00000000-0008-0000-0000-000020000000}"/>
                </a:ext>
              </a:extLst>
            </xdr:cNvPr>
            <xdr:cNvGrpSpPr/>
          </xdr:nvGrpSpPr>
          <xdr:grpSpPr>
            <a:xfrm>
              <a:off x="16978242" y="2712244"/>
              <a:ext cx="900113" cy="2357438"/>
              <a:chOff x="16975903" y="2667000"/>
              <a:chExt cx="900113" cy="2357438"/>
            </a:xfrm>
          </xdr:grpSpPr>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6983046" y="2667000"/>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Operating</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sp macro="" textlink="Pivot_tables!E32">
            <xdr:nvSpPr>
              <xdr:cNvPr id="28" name="TextBox 27">
                <a:extLst>
                  <a:ext uri="{FF2B5EF4-FFF2-40B4-BE49-F238E27FC236}">
                    <a16:creationId xmlns:a16="http://schemas.microsoft.com/office/drawing/2014/main" id="{00000000-0008-0000-0000-00001C000000}"/>
                  </a:ext>
                </a:extLst>
              </xdr:cNvPr>
              <xdr:cNvSpPr txBox="1"/>
            </xdr:nvSpPr>
            <xdr:spPr>
              <a:xfrm>
                <a:off x="16983046" y="474821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34E5174-9803-4947-8741-54A040649C07}" type="TxLink">
                  <a:rPr lang="en-US" sz="1400" b="0" i="0" u="none" strike="noStrike">
                    <a:solidFill>
                      <a:schemeClr val="bg1"/>
                    </a:solidFill>
                    <a:latin typeface="Arial"/>
                    <a:cs typeface="Arial"/>
                  </a:rPr>
                  <a:pPr algn="ctr"/>
                  <a:t> 215,023 </a:t>
                </a:fld>
                <a:endParaRPr lang="en-US" sz="4000" b="0" i="0" u="none" strike="noStrike">
                  <a:solidFill>
                    <a:schemeClr val="bg1"/>
                  </a:solidFill>
                  <a:latin typeface="Avenir Next LT Pro" panose="020B0504020202020204" pitchFamily="34" charset="0"/>
                  <a:cs typeface="+mn-cs"/>
                </a:endParaRPr>
              </a:p>
            </xdr:txBody>
          </xdr:sp>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16975903" y="3236119"/>
              <a:ext cx="900113" cy="1533525"/>
            </xdr:xfrm>
            <a:graphic>
              <a:graphicData uri="http://schemas.openxmlformats.org/drawingml/2006/chart">
                <c:chart xmlns:c="http://schemas.openxmlformats.org/drawingml/2006/chart" xmlns:r="http://schemas.openxmlformats.org/officeDocument/2006/relationships" r:id="rId4"/>
              </a:graphicData>
            </a:graphic>
          </xdr:graphicFrame>
        </xdr:grpSp>
      </xdr:grpSp>
      <xdr:grpSp>
        <xdr:nvGrpSpPr>
          <xdr:cNvPr id="29" name="Group 28">
            <a:extLst>
              <a:ext uri="{FF2B5EF4-FFF2-40B4-BE49-F238E27FC236}">
                <a16:creationId xmlns:a16="http://schemas.microsoft.com/office/drawing/2014/main" id="{00000000-0008-0000-0000-00001D000000}"/>
              </a:ext>
            </a:extLst>
          </xdr:cNvPr>
          <xdr:cNvGrpSpPr/>
        </xdr:nvGrpSpPr>
        <xdr:grpSpPr>
          <a:xfrm>
            <a:off x="16934273" y="5334000"/>
            <a:ext cx="981076" cy="2619376"/>
            <a:chOff x="16934273" y="5334000"/>
            <a:chExt cx="981076" cy="2619376"/>
          </a:xfrm>
        </xdr:grpSpPr>
        <xdr:sp macro="" textlink="">
          <xdr:nvSpPr>
            <xdr:cNvPr id="56" name="Rectangle: Rounded Corners 55">
              <a:extLst>
                <a:ext uri="{FF2B5EF4-FFF2-40B4-BE49-F238E27FC236}">
                  <a16:creationId xmlns:a16="http://schemas.microsoft.com/office/drawing/2014/main" id="{00000000-0008-0000-0000-000038000000}"/>
                </a:ext>
              </a:extLst>
            </xdr:cNvPr>
            <xdr:cNvSpPr/>
          </xdr:nvSpPr>
          <xdr:spPr>
            <a:xfrm>
              <a:off x="16974811" y="5334000"/>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6981898" y="5464969"/>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By Region</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graphicFrame macro="">
          <xdr:nvGraphicFramePr>
            <xdr:cNvPr id="62" name="Chart 61">
              <a:extLst>
                <a:ext uri="{FF2B5EF4-FFF2-40B4-BE49-F238E27FC236}">
                  <a16:creationId xmlns:a16="http://schemas.microsoft.com/office/drawing/2014/main" id="{00000000-0008-0000-0000-00003E000000}"/>
                </a:ext>
              </a:extLst>
            </xdr:cNvPr>
            <xdr:cNvGraphicFramePr>
              <a:graphicFrameLocks/>
            </xdr:cNvGraphicFramePr>
          </xdr:nvGraphicFramePr>
          <xdr:xfrm>
            <a:off x="16934273" y="5381624"/>
            <a:ext cx="981076" cy="2562225"/>
          </xdr:xfrm>
          <a:graphic>
            <a:graphicData uri="http://schemas.openxmlformats.org/drawingml/2006/chart">
              <c:chart xmlns:c="http://schemas.openxmlformats.org/drawingml/2006/chart" xmlns:r="http://schemas.openxmlformats.org/officeDocument/2006/relationships" r:id="rId5"/>
            </a:graphicData>
          </a:graphic>
        </xdr:graphicFrame>
      </xdr:grpSp>
    </xdr:grpSp>
    <xdr:clientData/>
  </xdr:twoCellAnchor>
  <xdr:twoCellAnchor>
    <xdr:from>
      <xdr:col>1</xdr:col>
      <xdr:colOff>100161</xdr:colOff>
      <xdr:row>21</xdr:row>
      <xdr:rowOff>85725</xdr:rowOff>
    </xdr:from>
    <xdr:to>
      <xdr:col>7</xdr:col>
      <xdr:colOff>366561</xdr:colOff>
      <xdr:row>26</xdr:row>
      <xdr:rowOff>66675</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709761" y="3486150"/>
          <a:ext cx="3924000" cy="790575"/>
          <a:chOff x="371475" y="3048000"/>
          <a:chExt cx="3924000" cy="790575"/>
        </a:xfrm>
      </xdr:grpSpPr>
      <xdr:sp macro="" textlink="Pivot_tables!O6">
        <xdr:nvSpPr>
          <xdr:cNvPr id="24" name="TextBox 23">
            <a:extLst>
              <a:ext uri="{FF2B5EF4-FFF2-40B4-BE49-F238E27FC236}">
                <a16:creationId xmlns:a16="http://schemas.microsoft.com/office/drawing/2014/main" id="{00000000-0008-0000-0000-000018000000}"/>
              </a:ext>
            </a:extLst>
          </xdr:cNvPr>
          <xdr:cNvSpPr txBox="1"/>
        </xdr:nvSpPr>
        <xdr:spPr>
          <a:xfrm>
            <a:off x="2619075" y="3048000"/>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C3B0D0F7-7E89-43CF-B711-72612C6D718B}" type="TxLink">
              <a:rPr lang="en-US" sz="2400" b="0" i="0" u="none" strike="noStrike">
                <a:solidFill>
                  <a:schemeClr val="bg1"/>
                </a:solidFill>
                <a:latin typeface="Avenir Next LT Pro" panose="020B0504020202020204" pitchFamily="34" charset="0"/>
                <a:cs typeface="Arial"/>
              </a:rPr>
              <a:pPr algn="r"/>
              <a:t> 1,881,525 </a:t>
            </a:fld>
            <a:endParaRPr lang="en-CA" sz="2400">
              <a:solidFill>
                <a:schemeClr val="bg1"/>
              </a:solidFill>
              <a:latin typeface="Avenir Next LT Pro" panose="020B0504020202020204" pitchFamily="34" charset="0"/>
            </a:endParaRPr>
          </a:p>
        </xdr:txBody>
      </xdr: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371475" y="3048000"/>
            <a:ext cx="195262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Cumulative</a:t>
            </a:r>
            <a:r>
              <a:rPr lang="en-CA" sz="1800" baseline="0">
                <a:solidFill>
                  <a:schemeClr val="bg1"/>
                </a:solidFill>
                <a:latin typeface="Avenir Next LT Pro" panose="020B0504020202020204" pitchFamily="34" charset="0"/>
              </a:rPr>
              <a:t> Sale</a:t>
            </a:r>
            <a:endParaRPr lang="en-CA" sz="1800">
              <a:solidFill>
                <a:schemeClr val="bg1"/>
              </a:solidFill>
              <a:latin typeface="Avenir Next LT Pro" panose="020B0504020202020204" pitchFamily="34" charset="0"/>
            </a:endParaRPr>
          </a:p>
        </xdr:txBody>
      </xdr:sp>
      <xdr:sp macro="" textlink="Pivot_tables!S6">
        <xdr:nvSpPr>
          <xdr:cNvPr id="26" name="TextBox 25">
            <a:extLst>
              <a:ext uri="{FF2B5EF4-FFF2-40B4-BE49-F238E27FC236}">
                <a16:creationId xmlns:a16="http://schemas.microsoft.com/office/drawing/2014/main" id="{00000000-0008-0000-0000-00001A000000}"/>
              </a:ext>
            </a:extLst>
          </xdr:cNvPr>
          <xdr:cNvSpPr txBox="1"/>
        </xdr:nvSpPr>
        <xdr:spPr>
          <a:xfrm>
            <a:off x="2619075" y="3495675"/>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1ECA40E3-E9AF-4147-A7CE-F8545F6A1D64}" type="TxLink">
              <a:rPr lang="en-US" sz="2400" b="0" i="0" u="none" strike="noStrike">
                <a:solidFill>
                  <a:schemeClr val="bg1"/>
                </a:solidFill>
                <a:latin typeface="Avenir Next LT Pro" panose="020B0504020202020204" pitchFamily="34" charset="0"/>
                <a:cs typeface="Arial"/>
              </a:rPr>
              <a:pPr algn="r"/>
              <a:t>11.43%</a:t>
            </a:fld>
            <a:endParaRPr lang="en-CA" sz="2400">
              <a:solidFill>
                <a:schemeClr val="bg1"/>
              </a:solidFill>
              <a:latin typeface="Avenir Next LT Pro" panose="020B0504020202020204" pitchFamily="34" charset="0"/>
            </a:endParaRPr>
          </a:p>
        </xdr:txBody>
      </xdr: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371475" y="3495675"/>
            <a:ext cx="200025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Net Profit </a:t>
            </a:r>
          </a:p>
        </xdr:txBody>
      </xdr:sp>
    </xdr:grpSp>
    <xdr:clientData/>
  </xdr:twoCellAnchor>
  <xdr:twoCellAnchor>
    <xdr:from>
      <xdr:col>0</xdr:col>
      <xdr:colOff>608324</xdr:colOff>
      <xdr:row>5</xdr:row>
      <xdr:rowOff>133350</xdr:rowOff>
    </xdr:from>
    <xdr:to>
      <xdr:col>7</xdr:col>
      <xdr:colOff>466724</xdr:colOff>
      <xdr:row>55</xdr:row>
      <xdr:rowOff>152401</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608324" y="942975"/>
          <a:ext cx="4125600" cy="8115301"/>
          <a:chOff x="608324" y="942975"/>
          <a:chExt cx="4125600" cy="8115301"/>
        </a:xfrm>
      </xdr:grpSpPr>
      <xdr:sp macro="" textlink="">
        <xdr:nvSpPr>
          <xdr:cNvPr id="5" name="Rectangle: Rounded Corners 40">
            <a:extLst>
              <a:ext uri="{FF2B5EF4-FFF2-40B4-BE49-F238E27FC236}">
                <a16:creationId xmlns:a16="http://schemas.microsoft.com/office/drawing/2014/main" id="{00000000-0008-0000-0000-000005000000}"/>
              </a:ext>
            </a:extLst>
          </xdr:cNvPr>
          <xdr:cNvSpPr/>
        </xdr:nvSpPr>
        <xdr:spPr>
          <a:xfrm>
            <a:off x="608324" y="1724026"/>
            <a:ext cx="4125600" cy="7334250"/>
          </a:xfrm>
          <a:prstGeom prst="roundRect">
            <a:avLst>
              <a:gd name="adj" fmla="val 7438"/>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31" name="Group 30">
            <a:extLst>
              <a:ext uri="{FF2B5EF4-FFF2-40B4-BE49-F238E27FC236}">
                <a16:creationId xmlns:a16="http://schemas.microsoft.com/office/drawing/2014/main" id="{00000000-0008-0000-0000-00001F000000}"/>
              </a:ext>
            </a:extLst>
          </xdr:cNvPr>
          <xdr:cNvGrpSpPr/>
        </xdr:nvGrpSpPr>
        <xdr:grpSpPr>
          <a:xfrm>
            <a:off x="609599" y="942975"/>
            <a:ext cx="4124325" cy="2428875"/>
            <a:chOff x="609599" y="942975"/>
            <a:chExt cx="4124325" cy="2428875"/>
          </a:xfrm>
          <a:effectLst>
            <a:outerShdw blurRad="50800" dist="38100" dir="2700000" algn="tl" rotWithShape="0">
              <a:prstClr val="black">
                <a:alpha val="40000"/>
              </a:prstClr>
            </a:outerShdw>
          </a:effectLst>
        </xdr:grpSpPr>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781050" y="942975"/>
            <a:ext cx="3743325" cy="93345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609599" y="1714500"/>
              <a:ext cx="4124325" cy="165735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atin typeface="Avenir Next LT Pro" panose="020B0504020202020204" pitchFamily="34" charset="0"/>
              </a:endParaRPr>
            </a:p>
          </xdr:txBody>
        </xdr:sp>
      </xdr:grpSp>
    </xdr:grpSp>
    <xdr:clientData/>
  </xdr:twoCellAnchor>
  <xdr:twoCellAnchor>
    <xdr:from>
      <xdr:col>1</xdr:col>
      <xdr:colOff>85725</xdr:colOff>
      <xdr:row>15</xdr:row>
      <xdr:rowOff>114300</xdr:rowOff>
    </xdr:from>
    <xdr:to>
      <xdr:col>7</xdr:col>
      <xdr:colOff>352125</xdr:colOff>
      <xdr:row>20</xdr:row>
      <xdr:rowOff>19050</xdr:rowOff>
    </xdr:to>
    <mc:AlternateContent xmlns:mc="http://schemas.openxmlformats.org/markup-compatibility/2006" xmlns:a14="http://schemas.microsoft.com/office/drawing/2010/main">
      <mc:Choice Requires="a14">
        <xdr:graphicFrame macro="">
          <xdr:nvGraphicFramePr>
            <xdr:cNvPr id="23" name="Product Category">
              <a:extLst>
                <a:ext uri="{FF2B5EF4-FFF2-40B4-BE49-F238E27FC236}">
                  <a16:creationId xmlns:a16="http://schemas.microsoft.com/office/drawing/2014/main" id="{00000000-0008-0000-0000-00001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695325" y="2543175"/>
              <a:ext cx="3924000" cy="714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85725</xdr:colOff>
      <xdr:row>11</xdr:row>
      <xdr:rowOff>38100</xdr:rowOff>
    </xdr:from>
    <xdr:to>
      <xdr:col>7</xdr:col>
      <xdr:colOff>352125</xdr:colOff>
      <xdr:row>15</xdr:row>
      <xdr:rowOff>103200</xdr:rowOff>
    </xdr:to>
    <mc:AlternateContent xmlns:mc="http://schemas.openxmlformats.org/markup-compatibility/2006" xmlns:a14="http://schemas.microsoft.com/office/drawing/2010/main">
      <mc:Choice Requires="a14">
        <xdr:graphicFrame macro="">
          <xdr:nvGraphicFramePr>
            <xdr:cNvPr id="71" name="Order Date (Month)">
              <a:extLst>
                <a:ext uri="{FF2B5EF4-FFF2-40B4-BE49-F238E27FC236}">
                  <a16:creationId xmlns:a16="http://schemas.microsoft.com/office/drawing/2014/main" id="{00000000-0008-0000-0000-00004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695325" y="1819275"/>
              <a:ext cx="3924000" cy="7128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8</xdr:col>
          <xdr:colOff>295275</xdr:colOff>
          <xdr:row>3</xdr:row>
          <xdr:rowOff>47625</xdr:rowOff>
        </xdr:from>
        <xdr:to>
          <xdr:col>26</xdr:col>
          <xdr:colOff>133350</xdr:colOff>
          <xdr:row>56</xdr:row>
          <xdr:rowOff>19050</xdr:rowOff>
        </xdr:to>
        <xdr:sp macro="" textlink="">
          <xdr:nvSpPr>
            <xdr:cNvPr id="1059" name="Hide"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10</xdr:row>
          <xdr:rowOff>85725</xdr:rowOff>
        </xdr:from>
        <xdr:to>
          <xdr:col>19</xdr:col>
          <xdr:colOff>533400</xdr:colOff>
          <xdr:row>18</xdr:row>
          <xdr:rowOff>19050</xdr:rowOff>
        </xdr:to>
        <xdr:sp macro="" textlink="">
          <xdr:nvSpPr>
            <xdr:cNvPr id="1033" name="OfficeMachines"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17</xdr:row>
          <xdr:rowOff>114300</xdr:rowOff>
        </xdr:from>
        <xdr:to>
          <xdr:col>21</xdr:col>
          <xdr:colOff>142875</xdr:colOff>
          <xdr:row>22</xdr:row>
          <xdr:rowOff>28575</xdr:rowOff>
        </xdr:to>
        <xdr:sp macro="" textlink="">
          <xdr:nvSpPr>
            <xdr:cNvPr id="1064" name="OfficeFurnishings"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400050</xdr:colOff>
          <xdr:row>18</xdr:row>
          <xdr:rowOff>114300</xdr:rowOff>
        </xdr:from>
        <xdr:to>
          <xdr:col>24</xdr:col>
          <xdr:colOff>142875</xdr:colOff>
          <xdr:row>24</xdr:row>
          <xdr:rowOff>104775</xdr:rowOff>
        </xdr:to>
        <xdr:sp macro="" textlink="">
          <xdr:nvSpPr>
            <xdr:cNvPr id="1068" name="TelephonesAndCommunicati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15</xdr:row>
          <xdr:rowOff>9525</xdr:rowOff>
        </xdr:from>
        <xdr:to>
          <xdr:col>17</xdr:col>
          <xdr:colOff>47625</xdr:colOff>
          <xdr:row>19</xdr:row>
          <xdr:rowOff>123825</xdr:rowOff>
        </xdr:to>
        <xdr:sp macro="" textlink="">
          <xdr:nvSpPr>
            <xdr:cNvPr id="1076" name="Paper"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542925</xdr:colOff>
          <xdr:row>19</xdr:row>
          <xdr:rowOff>85725</xdr:rowOff>
        </xdr:from>
        <xdr:to>
          <xdr:col>15</xdr:col>
          <xdr:colOff>333375</xdr:colOff>
          <xdr:row>23</xdr:row>
          <xdr:rowOff>19050</xdr:rowOff>
        </xdr:to>
        <xdr:sp macro="" textlink="">
          <xdr:nvSpPr>
            <xdr:cNvPr id="1077" name="PensAndArtSupplies"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16</xdr:row>
          <xdr:rowOff>133350</xdr:rowOff>
        </xdr:from>
        <xdr:to>
          <xdr:col>13</xdr:col>
          <xdr:colOff>390525</xdr:colOff>
          <xdr:row>19</xdr:row>
          <xdr:rowOff>19050</xdr:rowOff>
        </xdr:to>
        <xdr:sp macro="" textlink="">
          <xdr:nvSpPr>
            <xdr:cNvPr id="1078" name="RubberBands"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21</xdr:row>
          <xdr:rowOff>152400</xdr:rowOff>
        </xdr:from>
        <xdr:to>
          <xdr:col>12</xdr:col>
          <xdr:colOff>438150</xdr:colOff>
          <xdr:row>24</xdr:row>
          <xdr:rowOff>95250</xdr:rowOff>
        </xdr:to>
        <xdr:sp macro="" textlink="">
          <xdr:nvSpPr>
            <xdr:cNvPr id="1079" name="ScissorsRulersandTrimmers"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257175</xdr:colOff>
          <xdr:row>24</xdr:row>
          <xdr:rowOff>114300</xdr:rowOff>
        </xdr:from>
        <xdr:to>
          <xdr:col>21</xdr:col>
          <xdr:colOff>9525</xdr:colOff>
          <xdr:row>28</xdr:row>
          <xdr:rowOff>57150</xdr:rowOff>
        </xdr:to>
        <xdr:sp macro="" textlink="">
          <xdr:nvSpPr>
            <xdr:cNvPr id="1080" name="LabelsProduct"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438150</xdr:colOff>
          <xdr:row>31</xdr:row>
          <xdr:rowOff>0</xdr:rowOff>
        </xdr:from>
        <xdr:to>
          <xdr:col>23</xdr:col>
          <xdr:colOff>180975</xdr:colOff>
          <xdr:row>34</xdr:row>
          <xdr:rowOff>95250</xdr:rowOff>
        </xdr:to>
        <xdr:sp macro="" textlink="">
          <xdr:nvSpPr>
            <xdr:cNvPr id="1081" name="Envelopes"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25</xdr:row>
          <xdr:rowOff>142875</xdr:rowOff>
        </xdr:from>
        <xdr:to>
          <xdr:col>12</xdr:col>
          <xdr:colOff>190500</xdr:colOff>
          <xdr:row>31</xdr:row>
          <xdr:rowOff>133350</xdr:rowOff>
        </xdr:to>
        <xdr:sp macro="" textlink="">
          <xdr:nvSpPr>
            <xdr:cNvPr id="1082" name="StorageandOrganization"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0</xdr:rowOff>
        </xdr:from>
        <xdr:to>
          <xdr:col>13</xdr:col>
          <xdr:colOff>476250</xdr:colOff>
          <xdr:row>38</xdr:row>
          <xdr:rowOff>9525</xdr:rowOff>
        </xdr:to>
        <xdr:sp macro="" textlink="">
          <xdr:nvSpPr>
            <xdr:cNvPr id="1083" name="Tables"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123825</xdr:colOff>
          <xdr:row>36</xdr:row>
          <xdr:rowOff>95250</xdr:rowOff>
        </xdr:from>
        <xdr:to>
          <xdr:col>21</xdr:col>
          <xdr:colOff>200025</xdr:colOff>
          <xdr:row>42</xdr:row>
          <xdr:rowOff>85725</xdr:rowOff>
        </xdr:to>
        <xdr:sp macro="" textlink="">
          <xdr:nvSpPr>
            <xdr:cNvPr id="1084" name="CopiersandFax"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457200</xdr:colOff>
          <xdr:row>45</xdr:row>
          <xdr:rowOff>47625</xdr:rowOff>
        </xdr:from>
        <xdr:to>
          <xdr:col>20</xdr:col>
          <xdr:colOff>533400</xdr:colOff>
          <xdr:row>49</xdr:row>
          <xdr:rowOff>133350</xdr:rowOff>
        </xdr:to>
        <xdr:sp macro="" textlink="">
          <xdr:nvSpPr>
            <xdr:cNvPr id="1085" name="ComputerPeripherals"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381000</xdr:colOff>
          <xdr:row>42</xdr:row>
          <xdr:rowOff>38100</xdr:rowOff>
        </xdr:from>
        <xdr:to>
          <xdr:col>18</xdr:col>
          <xdr:colOff>247650</xdr:colOff>
          <xdr:row>49</xdr:row>
          <xdr:rowOff>19050</xdr:rowOff>
        </xdr:to>
        <xdr:sp macro="" textlink="">
          <xdr:nvSpPr>
            <xdr:cNvPr id="1086" name="ChairsandChairmat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42</xdr:row>
          <xdr:rowOff>104775</xdr:rowOff>
        </xdr:from>
        <xdr:to>
          <xdr:col>15</xdr:col>
          <xdr:colOff>66675</xdr:colOff>
          <xdr:row>48</xdr:row>
          <xdr:rowOff>66675</xdr:rowOff>
        </xdr:to>
        <xdr:sp macro="" textlink="">
          <xdr:nvSpPr>
            <xdr:cNvPr id="1087" name="BindersandBinderAccessories"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44</xdr:row>
          <xdr:rowOff>0</xdr:rowOff>
        </xdr:from>
        <xdr:to>
          <xdr:col>12</xdr:col>
          <xdr:colOff>104775</xdr:colOff>
          <xdr:row>47</xdr:row>
          <xdr:rowOff>114300</xdr:rowOff>
        </xdr:to>
        <xdr:sp macro="" textlink="">
          <xdr:nvSpPr>
            <xdr:cNvPr id="1088" name="Appliances"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48</xdr:row>
          <xdr:rowOff>123825</xdr:rowOff>
        </xdr:from>
        <xdr:to>
          <xdr:col>13</xdr:col>
          <xdr:colOff>342900</xdr:colOff>
          <xdr:row>53</xdr:row>
          <xdr:rowOff>0</xdr:rowOff>
        </xdr:to>
        <xdr:sp macro="" textlink="">
          <xdr:nvSpPr>
            <xdr:cNvPr id="1089" name="Bookcases"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533400</xdr:colOff>
          <xdr:row>10</xdr:row>
          <xdr:rowOff>57150</xdr:rowOff>
        </xdr:from>
        <xdr:to>
          <xdr:col>19</xdr:col>
          <xdr:colOff>590550</xdr:colOff>
          <xdr:row>18</xdr:row>
          <xdr:rowOff>19050</xdr:rowOff>
        </xdr:to>
        <xdr:sp macro="" textlink="">
          <xdr:nvSpPr>
            <xdr:cNvPr id="1291" name="OfficeMachine"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133350</xdr:colOff>
          <xdr:row>17</xdr:row>
          <xdr:rowOff>152400</xdr:rowOff>
        </xdr:from>
        <xdr:to>
          <xdr:col>21</xdr:col>
          <xdr:colOff>238125</xdr:colOff>
          <xdr:row>22</xdr:row>
          <xdr:rowOff>9525</xdr:rowOff>
        </xdr:to>
        <xdr:sp macro="" textlink="">
          <xdr:nvSpPr>
            <xdr:cNvPr id="1292" name="OfficeFurn"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466725</xdr:colOff>
          <xdr:row>18</xdr:row>
          <xdr:rowOff>114300</xdr:rowOff>
        </xdr:from>
        <xdr:to>
          <xdr:col>24</xdr:col>
          <xdr:colOff>161925</xdr:colOff>
          <xdr:row>24</xdr:row>
          <xdr:rowOff>123825</xdr:rowOff>
        </xdr:to>
        <xdr:sp macro="" textlink="">
          <xdr:nvSpPr>
            <xdr:cNvPr id="1293" name="Telephones"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16</xdr:row>
          <xdr:rowOff>66675</xdr:rowOff>
        </xdr:from>
        <xdr:to>
          <xdr:col>17</xdr:col>
          <xdr:colOff>47625</xdr:colOff>
          <xdr:row>19</xdr:row>
          <xdr:rowOff>104775</xdr:rowOff>
        </xdr:to>
        <xdr:sp macro="" textlink="">
          <xdr:nvSpPr>
            <xdr:cNvPr id="1294" name="Papers"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523875</xdr:colOff>
          <xdr:row>20</xdr:row>
          <xdr:rowOff>85725</xdr:rowOff>
        </xdr:from>
        <xdr:to>
          <xdr:col>15</xdr:col>
          <xdr:colOff>400050</xdr:colOff>
          <xdr:row>22</xdr:row>
          <xdr:rowOff>152400</xdr:rowOff>
        </xdr:to>
        <xdr:sp macro="" textlink="">
          <xdr:nvSpPr>
            <xdr:cNvPr id="1295" name="Pens"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17</xdr:row>
          <xdr:rowOff>9525</xdr:rowOff>
        </xdr:from>
        <xdr:to>
          <xdr:col>13</xdr:col>
          <xdr:colOff>381000</xdr:colOff>
          <xdr:row>18</xdr:row>
          <xdr:rowOff>152400</xdr:rowOff>
        </xdr:to>
        <xdr:sp macro="" textlink="">
          <xdr:nvSpPr>
            <xdr:cNvPr id="1296" name="RubberBand"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22</xdr:row>
          <xdr:rowOff>95250</xdr:rowOff>
        </xdr:from>
        <xdr:to>
          <xdr:col>12</xdr:col>
          <xdr:colOff>466725</xdr:colOff>
          <xdr:row>24</xdr:row>
          <xdr:rowOff>76200</xdr:rowOff>
        </xdr:to>
        <xdr:sp macro="" textlink="">
          <xdr:nvSpPr>
            <xdr:cNvPr id="1297" name="Scissors"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26</xdr:row>
          <xdr:rowOff>85725</xdr:rowOff>
        </xdr:from>
        <xdr:to>
          <xdr:col>21</xdr:col>
          <xdr:colOff>9525</xdr:colOff>
          <xdr:row>28</xdr:row>
          <xdr:rowOff>28575</xdr:rowOff>
        </xdr:to>
        <xdr:sp macro="" textlink="">
          <xdr:nvSpPr>
            <xdr:cNvPr id="1298" name="LabelsProducts"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419100</xdr:colOff>
          <xdr:row>31</xdr:row>
          <xdr:rowOff>95250</xdr:rowOff>
        </xdr:from>
        <xdr:to>
          <xdr:col>23</xdr:col>
          <xdr:colOff>276225</xdr:colOff>
          <xdr:row>34</xdr:row>
          <xdr:rowOff>66675</xdr:rowOff>
        </xdr:to>
        <xdr:sp macro="" textlink="">
          <xdr:nvSpPr>
            <xdr:cNvPr id="1299" name="Envelope"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26</xdr:row>
          <xdr:rowOff>66675</xdr:rowOff>
        </xdr:from>
        <xdr:to>
          <xdr:col>12</xdr:col>
          <xdr:colOff>209550</xdr:colOff>
          <xdr:row>31</xdr:row>
          <xdr:rowOff>114300</xdr:rowOff>
        </xdr:to>
        <xdr:sp macro="" textlink="">
          <xdr:nvSpPr>
            <xdr:cNvPr id="1300" name="Storage"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38</xdr:row>
          <xdr:rowOff>19050</xdr:rowOff>
        </xdr:from>
        <xdr:to>
          <xdr:col>21</xdr:col>
          <xdr:colOff>209550</xdr:colOff>
          <xdr:row>42</xdr:row>
          <xdr:rowOff>66675</xdr:rowOff>
        </xdr:to>
        <xdr:sp macro="" textlink="">
          <xdr:nvSpPr>
            <xdr:cNvPr id="1301" name="Copiers"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438150</xdr:colOff>
          <xdr:row>45</xdr:row>
          <xdr:rowOff>104775</xdr:rowOff>
        </xdr:from>
        <xdr:to>
          <xdr:col>20</xdr:col>
          <xdr:colOff>542925</xdr:colOff>
          <xdr:row>49</xdr:row>
          <xdr:rowOff>114300</xdr:rowOff>
        </xdr:to>
        <xdr:sp macro="" textlink="">
          <xdr:nvSpPr>
            <xdr:cNvPr id="1302" name="Computer"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419100</xdr:colOff>
          <xdr:row>42</xdr:row>
          <xdr:rowOff>114300</xdr:rowOff>
        </xdr:from>
        <xdr:to>
          <xdr:col>18</xdr:col>
          <xdr:colOff>276225</xdr:colOff>
          <xdr:row>49</xdr:row>
          <xdr:rowOff>0</xdr:rowOff>
        </xdr:to>
        <xdr:sp macro="" textlink="">
          <xdr:nvSpPr>
            <xdr:cNvPr id="1303" name="Chairs"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43</xdr:row>
          <xdr:rowOff>0</xdr:rowOff>
        </xdr:from>
        <xdr:to>
          <xdr:col>15</xdr:col>
          <xdr:colOff>85725</xdr:colOff>
          <xdr:row>48</xdr:row>
          <xdr:rowOff>104775</xdr:rowOff>
        </xdr:to>
        <xdr:sp macro="" textlink="">
          <xdr:nvSpPr>
            <xdr:cNvPr id="1304" name="Binders"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0</xdr:colOff>
      <xdr:row>0</xdr:row>
      <xdr:rowOff>0</xdr:rowOff>
    </xdr:from>
    <xdr:to>
      <xdr:col>37</xdr:col>
      <xdr:colOff>361950</xdr:colOff>
      <xdr:row>3</xdr:row>
      <xdr:rowOff>95250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22917150" cy="581025"/>
          <a:chOff x="0" y="0"/>
          <a:chExt cx="22917150" cy="581025"/>
        </a:xfrm>
      </xdr:grpSpPr>
      <xdr:grpSp>
        <xdr:nvGrpSpPr>
          <xdr:cNvPr id="17" name="Group 16">
            <a:extLst>
              <a:ext uri="{FF2B5EF4-FFF2-40B4-BE49-F238E27FC236}">
                <a16:creationId xmlns:a16="http://schemas.microsoft.com/office/drawing/2014/main" id="{00000000-0008-0000-0000-000011000000}"/>
              </a:ext>
            </a:extLst>
          </xdr:cNvPr>
          <xdr:cNvGrpSpPr/>
        </xdr:nvGrpSpPr>
        <xdr:grpSpPr>
          <a:xfrm>
            <a:off x="0" y="0"/>
            <a:ext cx="22917150" cy="581025"/>
            <a:chOff x="0" y="0"/>
            <a:chExt cx="22917150" cy="581025"/>
          </a:xfrm>
        </xdr:grpSpPr>
        <xdr:sp macro="" textlink="">
          <xdr:nvSpPr>
            <xdr:cNvPr id="22" name="Rectangle 21">
              <a:extLst>
                <a:ext uri="{FF2B5EF4-FFF2-40B4-BE49-F238E27FC236}">
                  <a16:creationId xmlns:a16="http://schemas.microsoft.com/office/drawing/2014/main" id="{00000000-0008-0000-0000-000016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61" name="Picture 60" descr="Superstore - NBC.com">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65" name="TextBox 64">
              <a:hlinkClick xmlns:r="http://schemas.openxmlformats.org/officeDocument/2006/relationships" r:id="rId8" tooltip="Distribution"/>
              <a:extLst>
                <a:ext uri="{FF2B5EF4-FFF2-40B4-BE49-F238E27FC236}">
                  <a16:creationId xmlns:a16="http://schemas.microsoft.com/office/drawing/2014/main" id="{00000000-0008-0000-0000-000041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68" name="TextBox 67">
              <a:hlinkClick xmlns:r="http://schemas.openxmlformats.org/officeDocument/2006/relationships" r:id="rId9" tooltip="Sales &amp; Profit"/>
              <a:extLst>
                <a:ext uri="{FF2B5EF4-FFF2-40B4-BE49-F238E27FC236}">
                  <a16:creationId xmlns:a16="http://schemas.microsoft.com/office/drawing/2014/main" id="{00000000-0008-0000-0000-000044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69" name="TextBox 68">
              <a:hlinkClick xmlns:r="http://schemas.openxmlformats.org/officeDocument/2006/relationships" r:id="rId10" tooltip="Trends"/>
              <a:extLst>
                <a:ext uri="{FF2B5EF4-FFF2-40B4-BE49-F238E27FC236}">
                  <a16:creationId xmlns:a16="http://schemas.microsoft.com/office/drawing/2014/main" id="{00000000-0008-0000-0000-000045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72" name="Rectangle: Rounded Corners 71">
              <a:extLst>
                <a:ext uri="{FF2B5EF4-FFF2-40B4-BE49-F238E27FC236}">
                  <a16:creationId xmlns:a16="http://schemas.microsoft.com/office/drawing/2014/main" id="{00000000-0008-0000-0000-000048000000}"/>
                </a:ext>
              </a:extLst>
            </xdr:cNvPr>
            <xdr:cNvSpPr/>
          </xdr:nvSpPr>
          <xdr:spPr>
            <a:xfrm>
              <a:off x="10495912"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3" name="TextBox 72">
              <a:hlinkClick xmlns:r="http://schemas.openxmlformats.org/officeDocument/2006/relationships" r:id="rId11" tooltip="Sales Map"/>
              <a:extLst>
                <a:ext uri="{FF2B5EF4-FFF2-40B4-BE49-F238E27FC236}">
                  <a16:creationId xmlns:a16="http://schemas.microsoft.com/office/drawing/2014/main" id="{00000000-0008-0000-0000-000049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9" name="Picture 8">
            <a:hlinkClick xmlns:r="http://schemas.openxmlformats.org/officeDocument/2006/relationships" r:id="rId12"/>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editAs="absolute">
    <xdr:from>
      <xdr:col>0</xdr:col>
      <xdr:colOff>608324</xdr:colOff>
      <xdr:row>27</xdr:row>
      <xdr:rowOff>104775</xdr:rowOff>
    </xdr:from>
    <xdr:to>
      <xdr:col>7</xdr:col>
      <xdr:colOff>466724</xdr:colOff>
      <xdr:row>29</xdr:row>
      <xdr:rowOff>82978</xdr:rowOff>
    </xdr:to>
    <xdr:sp macro="" textlink="">
      <xdr:nvSpPr>
        <xdr:cNvPr id="6" name="Arrow: Pentagon 5">
          <a:extLst>
            <a:ext uri="{FF2B5EF4-FFF2-40B4-BE49-F238E27FC236}">
              <a16:creationId xmlns:a16="http://schemas.microsoft.com/office/drawing/2014/main" id="{00000000-0008-0000-0000-000006000000}"/>
            </a:ext>
          </a:extLst>
        </xdr:cNvPr>
        <xdr:cNvSpPr/>
      </xdr:nvSpPr>
      <xdr:spPr>
        <a:xfrm>
          <a:off x="608324" y="4476750"/>
          <a:ext cx="4125600" cy="302053"/>
        </a:xfrm>
        <a:prstGeom prst="homePlate">
          <a:avLst>
            <a:gd name="adj" fmla="val 0"/>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100161</xdr:colOff>
      <xdr:row>27</xdr:row>
      <xdr:rowOff>85725</xdr:rowOff>
    </xdr:from>
    <xdr:to>
      <xdr:col>7</xdr:col>
      <xdr:colOff>366562</xdr:colOff>
      <xdr:row>54</xdr:row>
      <xdr:rowOff>123825</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09761" y="4457700"/>
          <a:ext cx="3924001" cy="4410075"/>
          <a:chOff x="614511" y="4457700"/>
          <a:chExt cx="3924001" cy="4410075"/>
        </a:xfrm>
      </xdr:grpSpPr>
      <xdr:grpSp>
        <xdr:nvGrpSpPr>
          <xdr:cNvPr id="120" name="Group 119">
            <a:extLst>
              <a:ext uri="{FF2B5EF4-FFF2-40B4-BE49-F238E27FC236}">
                <a16:creationId xmlns:a16="http://schemas.microsoft.com/office/drawing/2014/main" id="{00000000-0008-0000-0000-000078000000}"/>
              </a:ext>
            </a:extLst>
          </xdr:cNvPr>
          <xdr:cNvGrpSpPr/>
        </xdr:nvGrpSpPr>
        <xdr:grpSpPr>
          <a:xfrm>
            <a:off x="614511" y="4457700"/>
            <a:ext cx="2057399" cy="4410075"/>
            <a:chOff x="371475" y="3905250"/>
            <a:chExt cx="2057399" cy="4410075"/>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371475" y="3905250"/>
              <a:ext cx="2042964"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400" u="none">
                  <a:solidFill>
                    <a:srgbClr val="D43260"/>
                  </a:solidFill>
                  <a:latin typeface="Avenir Next LT Pro" panose="020B0504020202020204" pitchFamily="34" charset="0"/>
                </a:rPr>
                <a:t>Product Sub-Category</a:t>
              </a:r>
            </a:p>
          </xdr:txBody>
        </xdr:sp>
        <xdr:grpSp>
          <xdr:nvGrpSpPr>
            <xdr:cNvPr id="118" name="Group 117">
              <a:extLst>
                <a:ext uri="{FF2B5EF4-FFF2-40B4-BE49-F238E27FC236}">
                  <a16:creationId xmlns:a16="http://schemas.microsoft.com/office/drawing/2014/main" id="{00000000-0008-0000-0000-000076000000}"/>
                </a:ext>
              </a:extLst>
            </xdr:cNvPr>
            <xdr:cNvGrpSpPr/>
          </xdr:nvGrpSpPr>
          <xdr:grpSpPr>
            <a:xfrm>
              <a:off x="371475" y="4286250"/>
              <a:ext cx="2057399" cy="4029075"/>
              <a:chOff x="371475" y="4286250"/>
              <a:chExt cx="2057399" cy="4029075"/>
            </a:xfrm>
          </xdr:grpSpPr>
          <xdr:sp macro="" textlink="Pivot_tables!G7">
            <xdr:nvSpPr>
              <xdr:cNvPr id="38" name="TextBox 37">
                <a:extLst>
                  <a:ext uri="{FF2B5EF4-FFF2-40B4-BE49-F238E27FC236}">
                    <a16:creationId xmlns:a16="http://schemas.microsoft.com/office/drawing/2014/main" id="{00000000-0008-0000-0000-000026000000}"/>
                  </a:ext>
                </a:extLst>
              </xdr:cNvPr>
              <xdr:cNvSpPr txBox="1"/>
            </xdr:nvSpPr>
            <xdr:spPr>
              <a:xfrm>
                <a:off x="371475" y="45142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6F4861DD-D863-4604-949B-D8C7505E89D3}" type="TxLink">
                  <a:rPr lang="en-US" sz="1100" b="0" i="0" u="none" strike="noStrike">
                    <a:solidFill>
                      <a:schemeClr val="bg1"/>
                    </a:solidFill>
                    <a:latin typeface="Avenir Next LT Pro" panose="020B0504020202020204" pitchFamily="34" charset="0"/>
                    <a:cs typeface="Arial"/>
                  </a:rPr>
                  <a:pPr algn="l"/>
                  <a:t>Binders and Binder Accessories</a:t>
                </a:fld>
                <a:endParaRPr lang="en-CA" sz="1100">
                  <a:solidFill>
                    <a:schemeClr val="bg1"/>
                  </a:solidFill>
                  <a:latin typeface="Avenir Next LT Pro" panose="020B0504020202020204" pitchFamily="34" charset="0"/>
                </a:endParaRPr>
              </a:p>
            </xdr:txBody>
          </xdr:sp>
          <xdr:sp macro="" textlink="Pivot_tables!G8">
            <xdr:nvSpPr>
              <xdr:cNvPr id="39" name="TextBox 38">
                <a:extLst>
                  <a:ext uri="{FF2B5EF4-FFF2-40B4-BE49-F238E27FC236}">
                    <a16:creationId xmlns:a16="http://schemas.microsoft.com/office/drawing/2014/main" id="{00000000-0008-0000-0000-000027000000}"/>
                  </a:ext>
                </a:extLst>
              </xdr:cNvPr>
              <xdr:cNvSpPr txBox="1"/>
            </xdr:nvSpPr>
            <xdr:spPr>
              <a:xfrm>
                <a:off x="371475" y="47517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E09DCD5E-7A0D-4E94-924E-9638E66D5906}" type="TxLink">
                  <a:rPr lang="en-US" sz="1100" b="0" i="0" u="none" strike="noStrike">
                    <a:solidFill>
                      <a:schemeClr val="bg1"/>
                    </a:solidFill>
                    <a:latin typeface="Avenir Next LT Pro" panose="020B0504020202020204" pitchFamily="34" charset="0"/>
                    <a:cs typeface="Arial"/>
                  </a:rPr>
                  <a:pPr algn="l"/>
                  <a:t>Bookcases</a:t>
                </a:fld>
                <a:endParaRPr lang="en-CA" sz="1100">
                  <a:solidFill>
                    <a:schemeClr val="bg1"/>
                  </a:solidFill>
                  <a:latin typeface="Avenir Next LT Pro" panose="020B0504020202020204" pitchFamily="34" charset="0"/>
                </a:endParaRPr>
              </a:p>
            </xdr:txBody>
          </xdr:sp>
          <xdr:sp macro="" textlink="Pivot_tables!G9">
            <xdr:nvSpPr>
              <xdr:cNvPr id="40" name="TextBox 39">
                <a:extLst>
                  <a:ext uri="{FF2B5EF4-FFF2-40B4-BE49-F238E27FC236}">
                    <a16:creationId xmlns:a16="http://schemas.microsoft.com/office/drawing/2014/main" id="{00000000-0008-0000-0000-000028000000}"/>
                  </a:ext>
                </a:extLst>
              </xdr:cNvPr>
              <xdr:cNvSpPr txBox="1"/>
            </xdr:nvSpPr>
            <xdr:spPr>
              <a:xfrm>
                <a:off x="371475" y="49893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11C092E-D76C-4047-8FA4-792A049FF1FB}" type="TxLink">
                  <a:rPr lang="en-US" sz="1100" b="0" i="0" u="none" strike="noStrike">
                    <a:solidFill>
                      <a:schemeClr val="bg1"/>
                    </a:solidFill>
                    <a:latin typeface="Avenir Next LT Pro" panose="020B0504020202020204" pitchFamily="34" charset="0"/>
                    <a:cs typeface="Arial"/>
                  </a:rPr>
                  <a:pPr algn="l"/>
                  <a:t>Chairs &amp; Chairmats</a:t>
                </a:fld>
                <a:endParaRPr lang="en-CA" sz="1100">
                  <a:solidFill>
                    <a:schemeClr val="bg1"/>
                  </a:solidFill>
                  <a:latin typeface="Avenir Next LT Pro" panose="020B0504020202020204" pitchFamily="34" charset="0"/>
                </a:endParaRPr>
              </a:p>
            </xdr:txBody>
          </xdr:sp>
          <xdr:sp macro="" textlink="Pivot_tables!G10">
            <xdr:nvSpPr>
              <xdr:cNvPr id="41" name="TextBox 40">
                <a:extLst>
                  <a:ext uri="{FF2B5EF4-FFF2-40B4-BE49-F238E27FC236}">
                    <a16:creationId xmlns:a16="http://schemas.microsoft.com/office/drawing/2014/main" id="{00000000-0008-0000-0000-000029000000}"/>
                  </a:ext>
                </a:extLst>
              </xdr:cNvPr>
              <xdr:cNvSpPr txBox="1"/>
            </xdr:nvSpPr>
            <xdr:spPr>
              <a:xfrm>
                <a:off x="371475" y="52268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812748C-7EC7-4FBB-B475-8B545145FBFE}" type="TxLink">
                  <a:rPr lang="en-US" sz="1100" b="0" i="0" u="none" strike="noStrike">
                    <a:solidFill>
                      <a:schemeClr val="bg1"/>
                    </a:solidFill>
                    <a:latin typeface="Avenir Next LT Pro" panose="020B0504020202020204" pitchFamily="34" charset="0"/>
                    <a:cs typeface="Arial"/>
                  </a:rPr>
                  <a:pPr algn="l"/>
                  <a:t>Computer Peripherals</a:t>
                </a:fld>
                <a:endParaRPr lang="en-CA" sz="1100">
                  <a:solidFill>
                    <a:schemeClr val="bg1"/>
                  </a:solidFill>
                  <a:latin typeface="Avenir Next LT Pro" panose="020B0504020202020204" pitchFamily="34" charset="0"/>
                </a:endParaRPr>
              </a:p>
            </xdr:txBody>
          </xdr:sp>
          <xdr:sp macro="" textlink="Pivot_tables!G11">
            <xdr:nvSpPr>
              <xdr:cNvPr id="42" name="TextBox 41">
                <a:extLst>
                  <a:ext uri="{FF2B5EF4-FFF2-40B4-BE49-F238E27FC236}">
                    <a16:creationId xmlns:a16="http://schemas.microsoft.com/office/drawing/2014/main" id="{00000000-0008-0000-0000-00002A000000}"/>
                  </a:ext>
                </a:extLst>
              </xdr:cNvPr>
              <xdr:cNvSpPr txBox="1"/>
            </xdr:nvSpPr>
            <xdr:spPr>
              <a:xfrm>
                <a:off x="371475" y="54643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7404C9A8-030D-488B-A64F-E21E3DE3F422}" type="TxLink">
                  <a:rPr lang="en-US" sz="1100" b="0" i="0" u="none" strike="noStrike">
                    <a:solidFill>
                      <a:schemeClr val="bg1"/>
                    </a:solidFill>
                    <a:latin typeface="Avenir Next LT Pro" panose="020B0504020202020204" pitchFamily="34" charset="0"/>
                    <a:cs typeface="Arial"/>
                  </a:rPr>
                  <a:pPr algn="l"/>
                  <a:t>Copiers and Fax</a:t>
                </a:fld>
                <a:endParaRPr lang="en-CA" sz="1100">
                  <a:solidFill>
                    <a:schemeClr val="bg1"/>
                  </a:solidFill>
                  <a:latin typeface="Avenir Next LT Pro" panose="020B0504020202020204" pitchFamily="34" charset="0"/>
                </a:endParaRPr>
              </a:p>
            </xdr:txBody>
          </xdr:sp>
          <xdr:sp macro="" textlink="Pivot_tables!G12">
            <xdr:nvSpPr>
              <xdr:cNvPr id="43" name="TextBox 42">
                <a:extLst>
                  <a:ext uri="{FF2B5EF4-FFF2-40B4-BE49-F238E27FC236}">
                    <a16:creationId xmlns:a16="http://schemas.microsoft.com/office/drawing/2014/main" id="{00000000-0008-0000-0000-00002B000000}"/>
                  </a:ext>
                </a:extLst>
              </xdr:cNvPr>
              <xdr:cNvSpPr txBox="1"/>
            </xdr:nvSpPr>
            <xdr:spPr>
              <a:xfrm>
                <a:off x="371475" y="570190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4D8F40B7-4770-4457-BB19-F4FCDE5AD17E}" type="TxLink">
                  <a:rPr lang="en-US" sz="1100" b="0" i="0" u="none" strike="noStrike">
                    <a:solidFill>
                      <a:schemeClr val="bg1"/>
                    </a:solidFill>
                    <a:latin typeface="Avenir Next LT Pro" panose="020B0504020202020204" pitchFamily="34" charset="0"/>
                    <a:cs typeface="Arial"/>
                  </a:rPr>
                  <a:pPr algn="l"/>
                  <a:t>Envelopes</a:t>
                </a:fld>
                <a:endParaRPr lang="en-CA" sz="1100">
                  <a:solidFill>
                    <a:schemeClr val="bg1"/>
                  </a:solidFill>
                  <a:latin typeface="Avenir Next LT Pro" panose="020B0504020202020204" pitchFamily="34" charset="0"/>
                </a:endParaRPr>
              </a:p>
            </xdr:txBody>
          </xdr:sp>
          <xdr:sp macro="" textlink="Pivot_tables!G13">
            <xdr:nvSpPr>
              <xdr:cNvPr id="44" name="TextBox 43">
                <a:extLst>
                  <a:ext uri="{FF2B5EF4-FFF2-40B4-BE49-F238E27FC236}">
                    <a16:creationId xmlns:a16="http://schemas.microsoft.com/office/drawing/2014/main" id="{00000000-0008-0000-0000-00002C000000}"/>
                  </a:ext>
                </a:extLst>
              </xdr:cNvPr>
              <xdr:cNvSpPr txBox="1"/>
            </xdr:nvSpPr>
            <xdr:spPr>
              <a:xfrm>
                <a:off x="371475" y="593943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28D3D803-E3B7-49D3-A16A-312E9BB24378}" type="TxLink">
                  <a:rPr lang="en-US" sz="1100" b="0" i="0" u="none" strike="noStrike">
                    <a:solidFill>
                      <a:schemeClr val="bg1"/>
                    </a:solidFill>
                    <a:latin typeface="Avenir Next LT Pro" panose="020B0504020202020204" pitchFamily="34" charset="0"/>
                    <a:cs typeface="Arial"/>
                  </a:rPr>
                  <a:pPr algn="l"/>
                  <a:t>Labels</a:t>
                </a:fld>
                <a:endParaRPr lang="en-CA" sz="1100">
                  <a:solidFill>
                    <a:schemeClr val="bg1"/>
                  </a:solidFill>
                  <a:latin typeface="Avenir Next LT Pro" panose="020B0504020202020204" pitchFamily="34" charset="0"/>
                </a:endParaRPr>
              </a:p>
            </xdr:txBody>
          </xdr:sp>
          <xdr:sp macro="" textlink="Pivot_tables!G14">
            <xdr:nvSpPr>
              <xdr:cNvPr id="45" name="TextBox 44">
                <a:extLst>
                  <a:ext uri="{FF2B5EF4-FFF2-40B4-BE49-F238E27FC236}">
                    <a16:creationId xmlns:a16="http://schemas.microsoft.com/office/drawing/2014/main" id="{00000000-0008-0000-0000-00002D000000}"/>
                  </a:ext>
                </a:extLst>
              </xdr:cNvPr>
              <xdr:cNvSpPr txBox="1"/>
            </xdr:nvSpPr>
            <xdr:spPr>
              <a:xfrm>
                <a:off x="371475" y="617696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D55C346-A561-4529-8CF4-90962F2426E2}" type="TxLink">
                  <a:rPr lang="en-US" sz="1100" b="0" i="0" u="none" strike="noStrike">
                    <a:solidFill>
                      <a:schemeClr val="bg1"/>
                    </a:solidFill>
                    <a:latin typeface="Avenir Next LT Pro" panose="020B0504020202020204" pitchFamily="34" charset="0"/>
                    <a:cs typeface="Arial"/>
                  </a:rPr>
                  <a:pPr algn="l"/>
                  <a:t>Office Furnishings</a:t>
                </a:fld>
                <a:endParaRPr lang="en-CA" sz="1100">
                  <a:solidFill>
                    <a:schemeClr val="bg1"/>
                  </a:solidFill>
                  <a:latin typeface="Avenir Next LT Pro" panose="020B0504020202020204" pitchFamily="34" charset="0"/>
                </a:endParaRPr>
              </a:p>
            </xdr:txBody>
          </xdr:sp>
          <xdr:sp macro="" textlink="Pivot_tables!G15">
            <xdr:nvSpPr>
              <xdr:cNvPr id="46" name="TextBox 45">
                <a:extLst>
                  <a:ext uri="{FF2B5EF4-FFF2-40B4-BE49-F238E27FC236}">
                    <a16:creationId xmlns:a16="http://schemas.microsoft.com/office/drawing/2014/main" id="{00000000-0008-0000-0000-00002E000000}"/>
                  </a:ext>
                </a:extLst>
              </xdr:cNvPr>
              <xdr:cNvSpPr txBox="1"/>
            </xdr:nvSpPr>
            <xdr:spPr>
              <a:xfrm>
                <a:off x="371475" y="641449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6F267F0-715C-44DF-B63D-078310936212}" type="TxLink">
                  <a:rPr lang="en-US" sz="1100" b="0" i="0" u="none" strike="noStrike">
                    <a:solidFill>
                      <a:schemeClr val="bg1"/>
                    </a:solidFill>
                    <a:latin typeface="Avenir Next LT Pro" panose="020B0504020202020204" pitchFamily="34" charset="0"/>
                    <a:cs typeface="Arial"/>
                  </a:rPr>
                  <a:pPr algn="l"/>
                  <a:t>Office Machines</a:t>
                </a:fld>
                <a:endParaRPr lang="en-CA" sz="1100">
                  <a:solidFill>
                    <a:schemeClr val="bg1"/>
                  </a:solidFill>
                  <a:latin typeface="Avenir Next LT Pro" panose="020B0504020202020204" pitchFamily="34" charset="0"/>
                </a:endParaRPr>
              </a:p>
            </xdr:txBody>
          </xdr:sp>
          <xdr:sp macro="" textlink="Pivot_tables!G16">
            <xdr:nvSpPr>
              <xdr:cNvPr id="47" name="TextBox 46">
                <a:extLst>
                  <a:ext uri="{FF2B5EF4-FFF2-40B4-BE49-F238E27FC236}">
                    <a16:creationId xmlns:a16="http://schemas.microsoft.com/office/drawing/2014/main" id="{00000000-0008-0000-0000-00002F000000}"/>
                  </a:ext>
                </a:extLst>
              </xdr:cNvPr>
              <xdr:cNvSpPr txBox="1"/>
            </xdr:nvSpPr>
            <xdr:spPr>
              <a:xfrm>
                <a:off x="371475" y="665202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3DEEBD3-45D8-4C1A-B174-5BC0068CECE9}" type="TxLink">
                  <a:rPr lang="en-US" sz="1100" b="0" i="0" u="none" strike="noStrike">
                    <a:solidFill>
                      <a:schemeClr val="bg1"/>
                    </a:solidFill>
                    <a:latin typeface="Avenir Next LT Pro" panose="020B0504020202020204" pitchFamily="34" charset="0"/>
                    <a:cs typeface="Arial"/>
                  </a:rPr>
                  <a:pPr algn="l"/>
                  <a:t>Paper</a:t>
                </a:fld>
                <a:endParaRPr lang="en-CA" sz="1100">
                  <a:solidFill>
                    <a:schemeClr val="bg1"/>
                  </a:solidFill>
                  <a:latin typeface="Avenir Next LT Pro" panose="020B0504020202020204" pitchFamily="34" charset="0"/>
                </a:endParaRPr>
              </a:p>
            </xdr:txBody>
          </xdr:sp>
          <xdr:sp macro="" textlink="Pivot_tables!G17">
            <xdr:nvSpPr>
              <xdr:cNvPr id="48" name="TextBox 47">
                <a:extLst>
                  <a:ext uri="{FF2B5EF4-FFF2-40B4-BE49-F238E27FC236}">
                    <a16:creationId xmlns:a16="http://schemas.microsoft.com/office/drawing/2014/main" id="{00000000-0008-0000-0000-000030000000}"/>
                  </a:ext>
                </a:extLst>
              </xdr:cNvPr>
              <xdr:cNvSpPr txBox="1"/>
            </xdr:nvSpPr>
            <xdr:spPr>
              <a:xfrm>
                <a:off x="371475" y="68895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04221D02-877E-4F4C-86F4-2E30C5C52CF8}" type="TxLink">
                  <a:rPr lang="en-US" sz="1100" b="0" i="0" u="none" strike="noStrike">
                    <a:solidFill>
                      <a:schemeClr val="bg1"/>
                    </a:solidFill>
                    <a:latin typeface="Avenir Next LT Pro" panose="020B0504020202020204" pitchFamily="34" charset="0"/>
                    <a:cs typeface="Arial"/>
                  </a:rPr>
                  <a:pPr algn="l"/>
                  <a:t>Pens &amp; Art Supplies</a:t>
                </a:fld>
                <a:endParaRPr lang="en-CA" sz="1100">
                  <a:solidFill>
                    <a:schemeClr val="bg1"/>
                  </a:solidFill>
                  <a:latin typeface="Avenir Next LT Pro" panose="020B0504020202020204" pitchFamily="34" charset="0"/>
                </a:endParaRPr>
              </a:p>
            </xdr:txBody>
          </xdr:sp>
          <xdr:sp macro="" textlink="Pivot_tables!G18">
            <xdr:nvSpPr>
              <xdr:cNvPr id="49" name="TextBox 48">
                <a:extLst>
                  <a:ext uri="{FF2B5EF4-FFF2-40B4-BE49-F238E27FC236}">
                    <a16:creationId xmlns:a16="http://schemas.microsoft.com/office/drawing/2014/main" id="{00000000-0008-0000-0000-000031000000}"/>
                  </a:ext>
                </a:extLst>
              </xdr:cNvPr>
              <xdr:cNvSpPr txBox="1"/>
            </xdr:nvSpPr>
            <xdr:spPr>
              <a:xfrm>
                <a:off x="371475" y="71270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987A5431-7B75-4F03-AFB5-D546BCAD24BA}" type="TxLink">
                  <a:rPr lang="en-US" sz="1100" b="0" i="0" u="none" strike="noStrike">
                    <a:solidFill>
                      <a:schemeClr val="bg1"/>
                    </a:solidFill>
                    <a:latin typeface="Avenir Next LT Pro" panose="020B0504020202020204" pitchFamily="34" charset="0"/>
                    <a:cs typeface="Arial"/>
                  </a:rPr>
                  <a:pPr algn="l"/>
                  <a:t>Rubber Bands</a:t>
                </a:fld>
                <a:endParaRPr lang="en-CA" sz="1100">
                  <a:solidFill>
                    <a:schemeClr val="bg1"/>
                  </a:solidFill>
                  <a:latin typeface="Avenir Next LT Pro" panose="020B0504020202020204" pitchFamily="34" charset="0"/>
                </a:endParaRPr>
              </a:p>
            </xdr:txBody>
          </xdr:sp>
          <xdr:sp macro="" textlink="Pivot_tables!G19">
            <xdr:nvSpPr>
              <xdr:cNvPr id="50" name="TextBox 49">
                <a:extLst>
                  <a:ext uri="{FF2B5EF4-FFF2-40B4-BE49-F238E27FC236}">
                    <a16:creationId xmlns:a16="http://schemas.microsoft.com/office/drawing/2014/main" id="{00000000-0008-0000-0000-000032000000}"/>
                  </a:ext>
                </a:extLst>
              </xdr:cNvPr>
              <xdr:cNvSpPr txBox="1"/>
            </xdr:nvSpPr>
            <xdr:spPr>
              <a:xfrm>
                <a:off x="371475" y="73646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ECEAA00-00A1-4A97-95DC-8D37FB3F4DC3}" type="TxLink">
                  <a:rPr lang="en-US" sz="1100" b="0" i="0" u="none" strike="noStrike">
                    <a:solidFill>
                      <a:schemeClr val="bg1"/>
                    </a:solidFill>
                    <a:latin typeface="Avenir Next LT Pro" panose="020B0504020202020204" pitchFamily="34" charset="0"/>
                    <a:cs typeface="Arial"/>
                  </a:rPr>
                  <a:pPr algn="l"/>
                  <a:t>Scissors, Rulers and Trimmers</a:t>
                </a:fld>
                <a:endParaRPr lang="en-CA" sz="1100">
                  <a:solidFill>
                    <a:schemeClr val="bg1"/>
                  </a:solidFill>
                  <a:latin typeface="Avenir Next LT Pro" panose="020B0504020202020204" pitchFamily="34" charset="0"/>
                </a:endParaRPr>
              </a:p>
            </xdr:txBody>
          </xdr:sp>
          <xdr:sp macro="" textlink="Pivot_tables!G20">
            <xdr:nvSpPr>
              <xdr:cNvPr id="51" name="TextBox 50">
                <a:extLst>
                  <a:ext uri="{FF2B5EF4-FFF2-40B4-BE49-F238E27FC236}">
                    <a16:creationId xmlns:a16="http://schemas.microsoft.com/office/drawing/2014/main" id="{00000000-0008-0000-0000-000033000000}"/>
                  </a:ext>
                </a:extLst>
              </xdr:cNvPr>
              <xdr:cNvSpPr txBox="1"/>
            </xdr:nvSpPr>
            <xdr:spPr>
              <a:xfrm>
                <a:off x="371475" y="76021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88809D0D-BA15-48FC-836A-C40C45B0DB7F}" type="TxLink">
                  <a:rPr lang="en-US" sz="1100" b="0" i="0" u="none" strike="noStrike">
                    <a:solidFill>
                      <a:schemeClr val="bg1"/>
                    </a:solidFill>
                    <a:latin typeface="Avenir Next LT Pro" panose="020B0504020202020204" pitchFamily="34" charset="0"/>
                    <a:cs typeface="Arial"/>
                  </a:rPr>
                  <a:pPr algn="l"/>
                  <a:t>Storage &amp; Organization</a:t>
                </a:fld>
                <a:endParaRPr lang="en-CA" sz="1100">
                  <a:solidFill>
                    <a:schemeClr val="bg1"/>
                  </a:solidFill>
                  <a:latin typeface="Avenir Next LT Pro" panose="020B0504020202020204" pitchFamily="34" charset="0"/>
                </a:endParaRPr>
              </a:p>
            </xdr:txBody>
          </xdr:sp>
          <xdr:sp macro="" textlink="Pivot_tables!G21">
            <xdr:nvSpPr>
              <xdr:cNvPr id="52" name="TextBox 51">
                <a:extLst>
                  <a:ext uri="{FF2B5EF4-FFF2-40B4-BE49-F238E27FC236}">
                    <a16:creationId xmlns:a16="http://schemas.microsoft.com/office/drawing/2014/main" id="{00000000-0008-0000-0000-000034000000}"/>
                  </a:ext>
                </a:extLst>
              </xdr:cNvPr>
              <xdr:cNvSpPr txBox="1"/>
            </xdr:nvSpPr>
            <xdr:spPr>
              <a:xfrm>
                <a:off x="371475" y="78396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B691112B-57EC-458E-ACE7-6F3C8BCB52D2}" type="TxLink">
                  <a:rPr lang="en-US" sz="1100" b="0" i="0" u="none" strike="noStrike">
                    <a:solidFill>
                      <a:schemeClr val="bg1"/>
                    </a:solidFill>
                    <a:latin typeface="Avenir Next LT Pro" panose="020B0504020202020204" pitchFamily="34" charset="0"/>
                    <a:cs typeface="Arial"/>
                  </a:rPr>
                  <a:pPr algn="l"/>
                  <a:t>Tables</a:t>
                </a:fld>
                <a:endParaRPr lang="en-CA" sz="1100">
                  <a:solidFill>
                    <a:schemeClr val="bg1"/>
                  </a:solidFill>
                  <a:latin typeface="Avenir Next LT Pro" panose="020B0504020202020204" pitchFamily="34" charset="0"/>
                </a:endParaRPr>
              </a:p>
            </xdr:txBody>
          </xdr:sp>
          <xdr:sp macro="" textlink="Pivot_tables!G22">
            <xdr:nvSpPr>
              <xdr:cNvPr id="53" name="TextBox 52">
                <a:extLst>
                  <a:ext uri="{FF2B5EF4-FFF2-40B4-BE49-F238E27FC236}">
                    <a16:creationId xmlns:a16="http://schemas.microsoft.com/office/drawing/2014/main" id="{00000000-0008-0000-0000-000035000000}"/>
                  </a:ext>
                </a:extLst>
              </xdr:cNvPr>
              <xdr:cNvSpPr txBox="1"/>
            </xdr:nvSpPr>
            <xdr:spPr>
              <a:xfrm>
                <a:off x="371475" y="807720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3CAAAF61-14E9-47AC-8B38-1AA44BC9D250}" type="TxLink">
                  <a:rPr lang="en-US" sz="1100" b="0" i="0" u="none" strike="noStrike">
                    <a:solidFill>
                      <a:schemeClr val="bg1"/>
                    </a:solidFill>
                    <a:latin typeface="Avenir Next LT Pro" panose="020B0504020202020204" pitchFamily="34" charset="0"/>
                    <a:cs typeface="Arial"/>
                  </a:rPr>
                  <a:pPr algn="l"/>
                  <a:t>Telephones and Communication</a:t>
                </a:fld>
                <a:endParaRPr lang="en-CA" sz="1100">
                  <a:solidFill>
                    <a:schemeClr val="bg1"/>
                  </a:solidFill>
                  <a:latin typeface="Avenir Next LT Pro" panose="020B0504020202020204" pitchFamily="34" charset="0"/>
                </a:endParaRPr>
              </a:p>
            </xdr:txBody>
          </xdr:sp>
          <xdr:sp macro="" textlink="Pivot_tables!G6">
            <xdr:nvSpPr>
              <xdr:cNvPr id="55" name="TextBox 54">
                <a:extLst>
                  <a:ext uri="{FF2B5EF4-FFF2-40B4-BE49-F238E27FC236}">
                    <a16:creationId xmlns:a16="http://schemas.microsoft.com/office/drawing/2014/main" id="{00000000-0008-0000-0000-000037000000}"/>
                  </a:ext>
                </a:extLst>
              </xdr:cNvPr>
              <xdr:cNvSpPr txBox="1"/>
            </xdr:nvSpPr>
            <xdr:spPr>
              <a:xfrm>
                <a:off x="371475" y="428625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550FB3AF-D153-472A-930E-27D5EF90D411}" type="TxLink">
                  <a:rPr lang="en-US" sz="1100" b="0" i="0" u="none" strike="noStrike">
                    <a:solidFill>
                      <a:schemeClr val="bg1"/>
                    </a:solidFill>
                    <a:latin typeface="Avenir Next LT Pro" panose="020B0504020202020204" pitchFamily="34" charset="0"/>
                    <a:cs typeface="Arial"/>
                  </a:rPr>
                  <a:pPr algn="l"/>
                  <a:t>Appliances</a:t>
                </a:fld>
                <a:endParaRPr lang="en-CA" sz="1100">
                  <a:solidFill>
                    <a:schemeClr val="bg1"/>
                  </a:solidFill>
                  <a:latin typeface="Avenir Next LT Pro" panose="020B0504020202020204" pitchFamily="34" charset="0"/>
                </a:endParaRPr>
              </a:p>
            </xdr:txBody>
          </xdr:sp>
        </xdr:grpSp>
      </xdr:grpSp>
      <xdr:grpSp>
        <xdr:nvGrpSpPr>
          <xdr:cNvPr id="121" name="Group 120">
            <a:extLst>
              <a:ext uri="{FF2B5EF4-FFF2-40B4-BE49-F238E27FC236}">
                <a16:creationId xmlns:a16="http://schemas.microsoft.com/office/drawing/2014/main" id="{00000000-0008-0000-0000-000079000000}"/>
              </a:ext>
            </a:extLst>
          </xdr:cNvPr>
          <xdr:cNvGrpSpPr/>
        </xdr:nvGrpSpPr>
        <xdr:grpSpPr>
          <a:xfrm>
            <a:off x="2619376" y="4457700"/>
            <a:ext cx="890736" cy="4410075"/>
            <a:chOff x="2471590" y="3905250"/>
            <a:chExt cx="890736" cy="4410075"/>
          </a:xfrm>
        </xdr:grpSpPr>
        <xdr:grpSp>
          <xdr:nvGrpSpPr>
            <xdr:cNvPr id="94" name="Group 93">
              <a:extLst>
                <a:ext uri="{FF2B5EF4-FFF2-40B4-BE49-F238E27FC236}">
                  <a16:creationId xmlns:a16="http://schemas.microsoft.com/office/drawing/2014/main" id="{00000000-0008-0000-0000-00005E000000}"/>
                </a:ext>
              </a:extLst>
            </xdr:cNvPr>
            <xdr:cNvGrpSpPr/>
          </xdr:nvGrpSpPr>
          <xdr:grpSpPr>
            <a:xfrm>
              <a:off x="2619375" y="4286250"/>
              <a:ext cx="742950" cy="4029075"/>
              <a:chOff x="1828801" y="3305175"/>
              <a:chExt cx="742950" cy="4029075"/>
            </a:xfrm>
          </xdr:grpSpPr>
          <xdr:sp macro="" textlink="Pivot_tables!M7">
            <xdr:nvSpPr>
              <xdr:cNvPr id="77" name="TextBox 76">
                <a:extLst>
                  <a:ext uri="{FF2B5EF4-FFF2-40B4-BE49-F238E27FC236}">
                    <a16:creationId xmlns:a16="http://schemas.microsoft.com/office/drawing/2014/main" id="{00000000-0008-0000-0000-00004D000000}"/>
                  </a:ext>
                </a:extLst>
              </xdr:cNvPr>
              <xdr:cNvSpPr txBox="1"/>
            </xdr:nvSpPr>
            <xdr:spPr>
              <a:xfrm>
                <a:off x="1828801" y="35331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60104FF-EE70-4A9E-B1A0-1C8E0363EC64}" type="TxLink">
                  <a:rPr lang="en-US" sz="1100" b="0" i="0" u="none" strike="noStrike">
                    <a:solidFill>
                      <a:schemeClr val="bg1"/>
                    </a:solidFill>
                    <a:latin typeface="Avenir Next LT Pro" panose="020B0504020202020204" pitchFamily="34" charset="0"/>
                    <a:cs typeface="Arial"/>
                  </a:rPr>
                  <a:pPr algn="r"/>
                  <a:t> 2,554 </a:t>
                </a:fld>
                <a:endParaRPr lang="en-CA" sz="1100">
                  <a:solidFill>
                    <a:schemeClr val="bg1"/>
                  </a:solidFill>
                  <a:latin typeface="Avenir Next LT Pro" panose="020B0504020202020204" pitchFamily="34" charset="0"/>
                </a:endParaRPr>
              </a:p>
            </xdr:txBody>
          </xdr:sp>
          <xdr:sp macro="" textlink="Pivot_tables!M8">
            <xdr:nvSpPr>
              <xdr:cNvPr id="78" name="TextBox 77">
                <a:extLst>
                  <a:ext uri="{FF2B5EF4-FFF2-40B4-BE49-F238E27FC236}">
                    <a16:creationId xmlns:a16="http://schemas.microsoft.com/office/drawing/2014/main" id="{00000000-0008-0000-0000-00004E000000}"/>
                  </a:ext>
                </a:extLst>
              </xdr:cNvPr>
              <xdr:cNvSpPr txBox="1"/>
            </xdr:nvSpPr>
            <xdr:spPr>
              <a:xfrm>
                <a:off x="1828801" y="37707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78DA786-CEA3-45B7-B85D-CEB4DE8783DC}" type="TxLink">
                  <a:rPr lang="en-US" sz="1100" b="0" i="0" u="none" strike="noStrike">
                    <a:solidFill>
                      <a:schemeClr val="bg1"/>
                    </a:solidFill>
                    <a:latin typeface="Avenir Next LT Pro" panose="020B0504020202020204" pitchFamily="34" charset="0"/>
                    <a:cs typeface="Arial"/>
                  </a:rPr>
                  <a:pPr algn="r"/>
                  <a:t> 536 </a:t>
                </a:fld>
                <a:endParaRPr lang="en-CA" sz="1100">
                  <a:solidFill>
                    <a:schemeClr val="bg1"/>
                  </a:solidFill>
                  <a:latin typeface="Avenir Next LT Pro" panose="020B0504020202020204" pitchFamily="34" charset="0"/>
                </a:endParaRPr>
              </a:p>
            </xdr:txBody>
          </xdr:sp>
          <xdr:sp macro="" textlink="Pivot_tables!M9">
            <xdr:nvSpPr>
              <xdr:cNvPr id="79" name="TextBox 78">
                <a:extLst>
                  <a:ext uri="{FF2B5EF4-FFF2-40B4-BE49-F238E27FC236}">
                    <a16:creationId xmlns:a16="http://schemas.microsoft.com/office/drawing/2014/main" id="{00000000-0008-0000-0000-00004F000000}"/>
                  </a:ext>
                </a:extLst>
              </xdr:cNvPr>
              <xdr:cNvSpPr txBox="1"/>
            </xdr:nvSpPr>
            <xdr:spPr>
              <a:xfrm>
                <a:off x="1828801" y="40082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A17704E-983B-4473-98E2-EEA5E5BFF5D4}" type="TxLink">
                  <a:rPr lang="en-US" sz="1100" b="0" i="0" u="none" strike="noStrike">
                    <a:solidFill>
                      <a:schemeClr val="bg1"/>
                    </a:solidFill>
                    <a:latin typeface="Avenir Next LT Pro" panose="020B0504020202020204" pitchFamily="34" charset="0"/>
                    <a:cs typeface="Arial"/>
                  </a:rPr>
                  <a:pPr algn="r"/>
                  <a:t> 1,138 </a:t>
                </a:fld>
                <a:endParaRPr lang="en-CA" sz="1100">
                  <a:solidFill>
                    <a:schemeClr val="bg1"/>
                  </a:solidFill>
                  <a:latin typeface="Avenir Next LT Pro" panose="020B0504020202020204" pitchFamily="34" charset="0"/>
                </a:endParaRPr>
              </a:p>
            </xdr:txBody>
          </xdr:sp>
          <xdr:sp macro="" textlink="Pivot_tables!M10">
            <xdr:nvSpPr>
              <xdr:cNvPr id="80" name="TextBox 79">
                <a:extLst>
                  <a:ext uri="{FF2B5EF4-FFF2-40B4-BE49-F238E27FC236}">
                    <a16:creationId xmlns:a16="http://schemas.microsoft.com/office/drawing/2014/main" id="{00000000-0008-0000-0000-000050000000}"/>
                  </a:ext>
                </a:extLst>
              </xdr:cNvPr>
              <xdr:cNvSpPr txBox="1"/>
            </xdr:nvSpPr>
            <xdr:spPr>
              <a:xfrm>
                <a:off x="1828801" y="42457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471EFFE-89CD-4968-909A-9DE918697C33}" type="TxLink">
                  <a:rPr lang="en-US" sz="1100" b="0" i="0" u="none" strike="noStrike">
                    <a:solidFill>
                      <a:schemeClr val="bg1"/>
                    </a:solidFill>
                    <a:latin typeface="Avenir Next LT Pro" panose="020B0504020202020204" pitchFamily="34" charset="0"/>
                    <a:cs typeface="Arial"/>
                  </a:rPr>
                  <a:pPr algn="r"/>
                  <a:t> 2,481 </a:t>
                </a:fld>
                <a:endParaRPr lang="en-CA" sz="1100">
                  <a:solidFill>
                    <a:schemeClr val="bg1"/>
                  </a:solidFill>
                  <a:latin typeface="Avenir Next LT Pro" panose="020B0504020202020204" pitchFamily="34" charset="0"/>
                </a:endParaRPr>
              </a:p>
            </xdr:txBody>
          </xdr:sp>
          <xdr:sp macro="" textlink="Pivot_tables!M11">
            <xdr:nvSpPr>
              <xdr:cNvPr id="81" name="TextBox 80">
                <a:extLst>
                  <a:ext uri="{FF2B5EF4-FFF2-40B4-BE49-F238E27FC236}">
                    <a16:creationId xmlns:a16="http://schemas.microsoft.com/office/drawing/2014/main" id="{00000000-0008-0000-0000-000051000000}"/>
                  </a:ext>
                </a:extLst>
              </xdr:cNvPr>
              <xdr:cNvSpPr txBox="1"/>
            </xdr:nvSpPr>
            <xdr:spPr>
              <a:xfrm>
                <a:off x="1828801" y="44833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46585F6-9265-4AC8-9ED5-6F9B0AA887DB}" type="TxLink">
                  <a:rPr lang="en-US" sz="1100" b="0" i="0" u="none" strike="noStrike">
                    <a:solidFill>
                      <a:schemeClr val="bg1"/>
                    </a:solidFill>
                    <a:latin typeface="Avenir Next LT Pro" panose="020B0504020202020204" pitchFamily="34" charset="0"/>
                    <a:cs typeface="Arial"/>
                  </a:rPr>
                  <a:pPr algn="r"/>
                  <a:t> 181 </a:t>
                </a:fld>
                <a:endParaRPr lang="en-CA" sz="1100">
                  <a:solidFill>
                    <a:schemeClr val="bg1"/>
                  </a:solidFill>
                  <a:latin typeface="Avenir Next LT Pro" panose="020B0504020202020204" pitchFamily="34" charset="0"/>
                </a:endParaRPr>
              </a:p>
            </xdr:txBody>
          </xdr:sp>
          <xdr:sp macro="" textlink="Pivot_tables!M12">
            <xdr:nvSpPr>
              <xdr:cNvPr id="82" name="TextBox 81">
                <a:extLst>
                  <a:ext uri="{FF2B5EF4-FFF2-40B4-BE49-F238E27FC236}">
                    <a16:creationId xmlns:a16="http://schemas.microsoft.com/office/drawing/2014/main" id="{00000000-0008-0000-0000-000052000000}"/>
                  </a:ext>
                </a:extLst>
              </xdr:cNvPr>
              <xdr:cNvSpPr txBox="1"/>
            </xdr:nvSpPr>
            <xdr:spPr>
              <a:xfrm>
                <a:off x="1828801" y="472083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D1E30254-372C-4203-A875-154E1F87EF67}" type="TxLink">
                  <a:rPr lang="en-US" sz="1100" b="0" i="0" u="none" strike="noStrike">
                    <a:solidFill>
                      <a:schemeClr val="bg1"/>
                    </a:solidFill>
                    <a:latin typeface="Avenir Next LT Pro" panose="020B0504020202020204" pitchFamily="34" charset="0"/>
                    <a:cs typeface="Arial"/>
                  </a:rPr>
                  <a:pPr algn="r"/>
                  <a:t> 590 </a:t>
                </a:fld>
                <a:endParaRPr lang="en-CA" sz="1100">
                  <a:solidFill>
                    <a:schemeClr val="bg1"/>
                  </a:solidFill>
                  <a:latin typeface="Avenir Next LT Pro" panose="020B0504020202020204" pitchFamily="34" charset="0"/>
                </a:endParaRPr>
              </a:p>
            </xdr:txBody>
          </xdr:sp>
          <xdr:sp macro="" textlink="Pivot_tables!M13">
            <xdr:nvSpPr>
              <xdr:cNvPr id="83" name="TextBox 82">
                <a:extLst>
                  <a:ext uri="{FF2B5EF4-FFF2-40B4-BE49-F238E27FC236}">
                    <a16:creationId xmlns:a16="http://schemas.microsoft.com/office/drawing/2014/main" id="{00000000-0008-0000-0000-000053000000}"/>
                  </a:ext>
                </a:extLst>
              </xdr:cNvPr>
              <xdr:cNvSpPr txBox="1"/>
            </xdr:nvSpPr>
            <xdr:spPr>
              <a:xfrm>
                <a:off x="1828801" y="495836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EAE52CD-F6D6-4117-930A-2B5761B585AD}" type="TxLink">
                  <a:rPr lang="en-US" sz="1100" b="0" i="0" u="none" strike="noStrike">
                    <a:solidFill>
                      <a:schemeClr val="bg1"/>
                    </a:solidFill>
                    <a:latin typeface="Avenir Next LT Pro" panose="020B0504020202020204" pitchFamily="34" charset="0"/>
                    <a:cs typeface="Arial"/>
                  </a:rPr>
                  <a:pPr algn="r"/>
                  <a:t> 903 </a:t>
                </a:fld>
                <a:endParaRPr lang="en-CA" sz="1100">
                  <a:solidFill>
                    <a:schemeClr val="bg1"/>
                  </a:solidFill>
                  <a:latin typeface="Avenir Next LT Pro" panose="020B0504020202020204" pitchFamily="34" charset="0"/>
                </a:endParaRPr>
              </a:p>
            </xdr:txBody>
          </xdr:sp>
          <xdr:sp macro="" textlink="Pivot_tables!M14">
            <xdr:nvSpPr>
              <xdr:cNvPr id="84" name="TextBox 83">
                <a:extLst>
                  <a:ext uri="{FF2B5EF4-FFF2-40B4-BE49-F238E27FC236}">
                    <a16:creationId xmlns:a16="http://schemas.microsoft.com/office/drawing/2014/main" id="{00000000-0008-0000-0000-000054000000}"/>
                  </a:ext>
                </a:extLst>
              </xdr:cNvPr>
              <xdr:cNvSpPr txBox="1"/>
            </xdr:nvSpPr>
            <xdr:spPr>
              <a:xfrm>
                <a:off x="1828801" y="519589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2D31F82D-1359-406B-B35D-7E9403D0DB8F}" type="TxLink">
                  <a:rPr lang="en-US" sz="1100" b="0" i="0" u="none" strike="noStrike">
                    <a:solidFill>
                      <a:schemeClr val="bg1"/>
                    </a:solidFill>
                    <a:latin typeface="Avenir Next LT Pro" panose="020B0504020202020204" pitchFamily="34" charset="0"/>
                    <a:cs typeface="Arial"/>
                  </a:rPr>
                  <a:pPr algn="r"/>
                  <a:t> 2,356 </a:t>
                </a:fld>
                <a:endParaRPr lang="en-CA" sz="1100">
                  <a:solidFill>
                    <a:schemeClr val="bg1"/>
                  </a:solidFill>
                  <a:latin typeface="Avenir Next LT Pro" panose="020B0504020202020204" pitchFamily="34" charset="0"/>
                </a:endParaRPr>
              </a:p>
            </xdr:txBody>
          </xdr:sp>
          <xdr:sp macro="" textlink="Pivot_tables!M15">
            <xdr:nvSpPr>
              <xdr:cNvPr id="85" name="TextBox 84">
                <a:extLst>
                  <a:ext uri="{FF2B5EF4-FFF2-40B4-BE49-F238E27FC236}">
                    <a16:creationId xmlns:a16="http://schemas.microsoft.com/office/drawing/2014/main" id="{00000000-0008-0000-0000-000055000000}"/>
                  </a:ext>
                </a:extLst>
              </xdr:cNvPr>
              <xdr:cNvSpPr txBox="1"/>
            </xdr:nvSpPr>
            <xdr:spPr>
              <a:xfrm>
                <a:off x="1828801" y="543342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EC65DB1-0457-49DC-AFFD-22FB8C965BEB}" type="TxLink">
                  <a:rPr lang="en-US" sz="1100" b="0" i="0" u="none" strike="noStrike">
                    <a:solidFill>
                      <a:schemeClr val="bg1"/>
                    </a:solidFill>
                    <a:latin typeface="Avenir Next LT Pro" panose="020B0504020202020204" pitchFamily="34" charset="0"/>
                    <a:cs typeface="Arial"/>
                  </a:rPr>
                  <a:pPr algn="r"/>
                  <a:t> 898 </a:t>
                </a:fld>
                <a:endParaRPr lang="en-CA" sz="1100">
                  <a:solidFill>
                    <a:schemeClr val="bg1"/>
                  </a:solidFill>
                  <a:latin typeface="Avenir Next LT Pro" panose="020B0504020202020204" pitchFamily="34" charset="0"/>
                </a:endParaRPr>
              </a:p>
            </xdr:txBody>
          </xdr:sp>
          <xdr:sp macro="" textlink="Pivot_tables!M16">
            <xdr:nvSpPr>
              <xdr:cNvPr id="86" name="TextBox 85">
                <a:extLst>
                  <a:ext uri="{FF2B5EF4-FFF2-40B4-BE49-F238E27FC236}">
                    <a16:creationId xmlns:a16="http://schemas.microsoft.com/office/drawing/2014/main" id="{00000000-0008-0000-0000-000056000000}"/>
                  </a:ext>
                </a:extLst>
              </xdr:cNvPr>
              <xdr:cNvSpPr txBox="1"/>
            </xdr:nvSpPr>
            <xdr:spPr>
              <a:xfrm>
                <a:off x="1828801" y="56709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7FB5762-3BA1-4821-8367-2B06B71458A7}" type="TxLink">
                  <a:rPr lang="en-US" sz="1100" b="0" i="0" u="none" strike="noStrike">
                    <a:solidFill>
                      <a:schemeClr val="bg1"/>
                    </a:solidFill>
                    <a:latin typeface="Avenir Next LT Pro" panose="020B0504020202020204" pitchFamily="34" charset="0"/>
                    <a:cs typeface="Arial"/>
                  </a:rPr>
                  <a:pPr algn="r"/>
                  <a:t> 3,481 </a:t>
                </a:fld>
                <a:endParaRPr lang="en-CA" sz="1100">
                  <a:solidFill>
                    <a:schemeClr val="bg1"/>
                  </a:solidFill>
                  <a:latin typeface="Avenir Next LT Pro" panose="020B0504020202020204" pitchFamily="34" charset="0"/>
                </a:endParaRPr>
              </a:p>
            </xdr:txBody>
          </xdr:sp>
          <xdr:sp macro="" textlink="Pivot_tables!M17">
            <xdr:nvSpPr>
              <xdr:cNvPr id="87" name="TextBox 86">
                <a:extLst>
                  <a:ext uri="{FF2B5EF4-FFF2-40B4-BE49-F238E27FC236}">
                    <a16:creationId xmlns:a16="http://schemas.microsoft.com/office/drawing/2014/main" id="{00000000-0008-0000-0000-000057000000}"/>
                  </a:ext>
                </a:extLst>
              </xdr:cNvPr>
              <xdr:cNvSpPr txBox="1"/>
            </xdr:nvSpPr>
            <xdr:spPr>
              <a:xfrm>
                <a:off x="1828801" y="59084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C449A45-9674-4478-928F-B97654A7D3E4}" type="TxLink">
                  <a:rPr lang="en-US" sz="1100" b="0" i="0" u="none" strike="noStrike">
                    <a:solidFill>
                      <a:schemeClr val="bg1"/>
                    </a:solidFill>
                    <a:latin typeface="Avenir Next LT Pro" panose="020B0504020202020204" pitchFamily="34" charset="0"/>
                    <a:cs typeface="Arial"/>
                  </a:rPr>
                  <a:pPr algn="r"/>
                  <a:t> 2,744 </a:t>
                </a:fld>
                <a:endParaRPr lang="en-CA" sz="1100">
                  <a:solidFill>
                    <a:schemeClr val="bg1"/>
                  </a:solidFill>
                  <a:latin typeface="Avenir Next LT Pro" panose="020B0504020202020204" pitchFamily="34" charset="0"/>
                </a:endParaRPr>
              </a:p>
            </xdr:txBody>
          </xdr:sp>
          <xdr:sp macro="" textlink="Pivot_tables!M18">
            <xdr:nvSpPr>
              <xdr:cNvPr id="88" name="TextBox 87">
                <a:extLst>
                  <a:ext uri="{FF2B5EF4-FFF2-40B4-BE49-F238E27FC236}">
                    <a16:creationId xmlns:a16="http://schemas.microsoft.com/office/drawing/2014/main" id="{00000000-0008-0000-0000-000058000000}"/>
                  </a:ext>
                </a:extLst>
              </xdr:cNvPr>
              <xdr:cNvSpPr txBox="1"/>
            </xdr:nvSpPr>
            <xdr:spPr>
              <a:xfrm>
                <a:off x="1828801" y="61460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8733CB3-D15F-44D1-9801-EC0BE91480BA}" type="TxLink">
                  <a:rPr lang="en-US" sz="1100" b="0" i="0" u="none" strike="noStrike">
                    <a:solidFill>
                      <a:schemeClr val="bg1"/>
                    </a:solidFill>
                    <a:latin typeface="Avenir Next LT Pro"/>
                    <a:cs typeface="Arial"/>
                  </a:rPr>
                  <a:pPr algn="r"/>
                  <a:t> 501 </a:t>
                </a:fld>
                <a:endParaRPr lang="en-CA" sz="1100">
                  <a:solidFill>
                    <a:schemeClr val="bg1"/>
                  </a:solidFill>
                  <a:latin typeface="Avenir Next LT Pro" panose="020B0504020202020204" pitchFamily="34" charset="0"/>
                </a:endParaRPr>
              </a:p>
            </xdr:txBody>
          </xdr:sp>
          <xdr:sp macro="" textlink="Pivot_tables!M19">
            <xdr:nvSpPr>
              <xdr:cNvPr id="89" name="TextBox 88">
                <a:extLst>
                  <a:ext uri="{FF2B5EF4-FFF2-40B4-BE49-F238E27FC236}">
                    <a16:creationId xmlns:a16="http://schemas.microsoft.com/office/drawing/2014/main" id="{00000000-0008-0000-0000-000059000000}"/>
                  </a:ext>
                </a:extLst>
              </xdr:cNvPr>
              <xdr:cNvSpPr txBox="1"/>
            </xdr:nvSpPr>
            <xdr:spPr>
              <a:xfrm>
                <a:off x="1828801" y="63835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99F4E8A-F388-4734-AF59-39FFCFA8BD4B}" type="TxLink">
                  <a:rPr lang="en-US" sz="1100" b="0" i="0" u="none" strike="noStrike">
                    <a:solidFill>
                      <a:schemeClr val="bg1"/>
                    </a:solidFill>
                    <a:latin typeface="Avenir Next LT Pro" panose="020B0504020202020204" pitchFamily="34" charset="0"/>
                    <a:cs typeface="Arial"/>
                  </a:rPr>
                  <a:pPr algn="r"/>
                  <a:t> 423 </a:t>
                </a:fld>
                <a:endParaRPr lang="en-CA" sz="1100">
                  <a:solidFill>
                    <a:schemeClr val="bg1"/>
                  </a:solidFill>
                  <a:latin typeface="Avenir Next LT Pro" panose="020B0504020202020204" pitchFamily="34" charset="0"/>
                </a:endParaRPr>
              </a:p>
            </xdr:txBody>
          </xdr:sp>
          <xdr:sp macro="" textlink="Pivot_tables!M20">
            <xdr:nvSpPr>
              <xdr:cNvPr id="90" name="TextBox 89">
                <a:extLst>
                  <a:ext uri="{FF2B5EF4-FFF2-40B4-BE49-F238E27FC236}">
                    <a16:creationId xmlns:a16="http://schemas.microsoft.com/office/drawing/2014/main" id="{00000000-0008-0000-0000-00005A000000}"/>
                  </a:ext>
                </a:extLst>
              </xdr:cNvPr>
              <xdr:cNvSpPr txBox="1"/>
            </xdr:nvSpPr>
            <xdr:spPr>
              <a:xfrm>
                <a:off x="1828801" y="66210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D70566B-7268-436D-9F65-58B557A77E99}" type="TxLink">
                  <a:rPr lang="en-US" sz="1100" b="0" i="0" u="none" strike="noStrike">
                    <a:solidFill>
                      <a:schemeClr val="bg1"/>
                    </a:solidFill>
                    <a:latin typeface="Avenir Next LT Pro" panose="020B0504020202020204" pitchFamily="34" charset="0"/>
                    <a:cs typeface="Arial"/>
                  </a:rPr>
                  <a:pPr algn="r"/>
                  <a:t> 1,889 </a:t>
                </a:fld>
                <a:endParaRPr lang="en-CA" sz="1100">
                  <a:solidFill>
                    <a:schemeClr val="bg1"/>
                  </a:solidFill>
                  <a:latin typeface="Avenir Next LT Pro" panose="020B0504020202020204" pitchFamily="34" charset="0"/>
                </a:endParaRPr>
              </a:p>
            </xdr:txBody>
          </xdr:sp>
          <xdr:sp macro="" textlink="Pivot_tables!M21">
            <xdr:nvSpPr>
              <xdr:cNvPr id="91" name="TextBox 90">
                <a:extLst>
                  <a:ext uri="{FF2B5EF4-FFF2-40B4-BE49-F238E27FC236}">
                    <a16:creationId xmlns:a16="http://schemas.microsoft.com/office/drawing/2014/main" id="{00000000-0008-0000-0000-00005B000000}"/>
                  </a:ext>
                </a:extLst>
              </xdr:cNvPr>
              <xdr:cNvSpPr txBox="1"/>
            </xdr:nvSpPr>
            <xdr:spPr>
              <a:xfrm>
                <a:off x="1828801" y="68586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F2B2AB4-A1BB-4402-98E3-59A9BCB231A8}" type="TxLink">
                  <a:rPr lang="en-US" sz="1100" b="0" i="0" u="none" strike="noStrike">
                    <a:solidFill>
                      <a:schemeClr val="bg1"/>
                    </a:solidFill>
                    <a:latin typeface="Avenir Next LT Pro" panose="020B0504020202020204" pitchFamily="34" charset="0"/>
                    <a:cs typeface="Arial"/>
                  </a:rPr>
                  <a:pPr algn="r"/>
                  <a:t> 882 </a:t>
                </a:fld>
                <a:endParaRPr lang="en-CA" sz="1100">
                  <a:solidFill>
                    <a:schemeClr val="bg1"/>
                  </a:solidFill>
                  <a:latin typeface="Avenir Next LT Pro" panose="020B0504020202020204" pitchFamily="34" charset="0"/>
                </a:endParaRPr>
              </a:p>
            </xdr:txBody>
          </xdr:sp>
          <xdr:sp macro="" textlink="Pivot_tables!M22">
            <xdr:nvSpPr>
              <xdr:cNvPr id="92" name="TextBox 91">
                <a:extLst>
                  <a:ext uri="{FF2B5EF4-FFF2-40B4-BE49-F238E27FC236}">
                    <a16:creationId xmlns:a16="http://schemas.microsoft.com/office/drawing/2014/main" id="{00000000-0008-0000-0000-00005C000000}"/>
                  </a:ext>
                </a:extLst>
              </xdr:cNvPr>
              <xdr:cNvSpPr txBox="1"/>
            </xdr:nvSpPr>
            <xdr:spPr>
              <a:xfrm>
                <a:off x="1828801" y="70961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3FB8D14-B831-4CDE-9E7D-B02CE7A15996}" type="TxLink">
                  <a:rPr lang="en-US" sz="1100" b="0" i="0" u="none" strike="noStrike">
                    <a:solidFill>
                      <a:schemeClr val="bg1"/>
                    </a:solidFill>
                    <a:latin typeface="Avenir Next LT Pro" panose="020B0504020202020204" pitchFamily="34" charset="0"/>
                    <a:cs typeface="Arial"/>
                  </a:rPr>
                  <a:pPr algn="r"/>
                  <a:t> 2,358 </a:t>
                </a:fld>
                <a:endParaRPr lang="en-CA" sz="1100">
                  <a:solidFill>
                    <a:schemeClr val="bg1"/>
                  </a:solidFill>
                  <a:latin typeface="Avenir Next LT Pro" panose="020B0504020202020204" pitchFamily="34" charset="0"/>
                </a:endParaRPr>
              </a:p>
            </xdr:txBody>
          </xdr:sp>
          <xdr:sp macro="" textlink="Pivot_tables!M6">
            <xdr:nvSpPr>
              <xdr:cNvPr id="93" name="TextBox 92">
                <a:extLst>
                  <a:ext uri="{FF2B5EF4-FFF2-40B4-BE49-F238E27FC236}">
                    <a16:creationId xmlns:a16="http://schemas.microsoft.com/office/drawing/2014/main" id="{00000000-0008-0000-0000-00005D000000}"/>
                  </a:ext>
                </a:extLst>
              </xdr:cNvPr>
              <xdr:cNvSpPr txBox="1"/>
            </xdr:nvSpPr>
            <xdr:spPr>
              <a:xfrm>
                <a:off x="1828801" y="33051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01500F5-E29D-40E6-8E39-E99301B166EB}" type="TxLink">
                  <a:rPr lang="en-US" sz="1100" b="0" i="0" u="none" strike="noStrike">
                    <a:solidFill>
                      <a:schemeClr val="bg1"/>
                    </a:solidFill>
                    <a:latin typeface="Avenir Next LT Pro" panose="020B0504020202020204" pitchFamily="34" charset="0"/>
                    <a:cs typeface="Arial"/>
                  </a:rPr>
                  <a:pPr algn="r"/>
                  <a:t> 1,187 </a:t>
                </a:fld>
                <a:endParaRPr lang="en-US" sz="1100">
                  <a:solidFill>
                    <a:schemeClr val="bg1"/>
                  </a:solidFill>
                  <a:latin typeface="Avenir Next LT Pro" panose="020B0504020202020204" pitchFamily="34" charset="0"/>
                </a:endParaRPr>
              </a:p>
            </xdr:txBody>
          </xdr:sp>
        </xdr:grpSp>
        <xdr:sp macro="" textlink="">
          <xdr:nvSpPr>
            <xdr:cNvPr id="95" name="TextBox 94">
              <a:extLst>
                <a:ext uri="{FF2B5EF4-FFF2-40B4-BE49-F238E27FC236}">
                  <a16:creationId xmlns:a16="http://schemas.microsoft.com/office/drawing/2014/main" id="{00000000-0008-0000-0000-00005F000000}"/>
                </a:ext>
              </a:extLst>
            </xdr:cNvPr>
            <xdr:cNvSpPr txBox="1"/>
          </xdr:nvSpPr>
          <xdr:spPr>
            <a:xfrm>
              <a:off x="2471590" y="3905250"/>
              <a:ext cx="89073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D43260"/>
                  </a:solidFill>
                  <a:latin typeface="Avenir Next LT Pro" panose="020B0504020202020204" pitchFamily="34" charset="0"/>
                </a:rPr>
                <a:t>Quantity</a:t>
              </a:r>
            </a:p>
          </xdr:txBody>
        </xdr:sp>
      </xdr:grpSp>
      <xdr:grpSp>
        <xdr:nvGrpSpPr>
          <xdr:cNvPr id="122" name="Group 121">
            <a:extLst>
              <a:ext uri="{FF2B5EF4-FFF2-40B4-BE49-F238E27FC236}">
                <a16:creationId xmlns:a16="http://schemas.microsoft.com/office/drawing/2014/main" id="{00000000-0008-0000-0000-00007A000000}"/>
              </a:ext>
            </a:extLst>
          </xdr:cNvPr>
          <xdr:cNvGrpSpPr/>
        </xdr:nvGrpSpPr>
        <xdr:grpSpPr>
          <a:xfrm>
            <a:off x="3448050" y="4457700"/>
            <a:ext cx="1090462" cy="4410075"/>
            <a:chOff x="3205014" y="3905250"/>
            <a:chExt cx="1090462" cy="4410075"/>
          </a:xfrm>
        </xdr:grpSpPr>
        <xdr:grpSp>
          <xdr:nvGrpSpPr>
            <xdr:cNvPr id="119" name="Group 118">
              <a:extLst>
                <a:ext uri="{FF2B5EF4-FFF2-40B4-BE49-F238E27FC236}">
                  <a16:creationId xmlns:a16="http://schemas.microsoft.com/office/drawing/2014/main" id="{00000000-0008-0000-0000-000077000000}"/>
                </a:ext>
              </a:extLst>
            </xdr:cNvPr>
            <xdr:cNvGrpSpPr/>
          </xdr:nvGrpSpPr>
          <xdr:grpSpPr>
            <a:xfrm>
              <a:off x="3552525" y="4286250"/>
              <a:ext cx="742950" cy="4029075"/>
              <a:chOff x="3552525" y="4286250"/>
              <a:chExt cx="742950" cy="4029075"/>
            </a:xfrm>
          </xdr:grpSpPr>
          <xdr:sp macro="" textlink="Pivot_tables!N7">
            <xdr:nvSpPr>
              <xdr:cNvPr id="97" name="TextBox 96">
                <a:extLst>
                  <a:ext uri="{FF2B5EF4-FFF2-40B4-BE49-F238E27FC236}">
                    <a16:creationId xmlns:a16="http://schemas.microsoft.com/office/drawing/2014/main" id="{00000000-0008-0000-0000-000061000000}"/>
                  </a:ext>
                </a:extLst>
              </xdr:cNvPr>
              <xdr:cNvSpPr txBox="1"/>
            </xdr:nvSpPr>
            <xdr:spPr>
              <a:xfrm>
                <a:off x="3552525" y="45142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DC1CD49-B7F6-402F-BB7B-DD6FD5B81A3A}" type="TxLink">
                  <a:rPr lang="en-US" sz="1100" b="0" i="0" u="none" strike="noStrike">
                    <a:solidFill>
                      <a:schemeClr val="bg1"/>
                    </a:solidFill>
                    <a:latin typeface="Avenir Next LT Pro"/>
                    <a:cs typeface="Arial"/>
                  </a:rPr>
                  <a:pPr algn="r"/>
                  <a:t>10.17%</a:t>
                </a:fld>
                <a:endParaRPr lang="en-CA" sz="1100">
                  <a:solidFill>
                    <a:schemeClr val="bg1"/>
                  </a:solidFill>
                  <a:latin typeface="Avenir Next LT Pro" panose="020B0504020202020204" pitchFamily="34" charset="0"/>
                </a:endParaRPr>
              </a:p>
            </xdr:txBody>
          </xdr:sp>
          <xdr:sp macro="" textlink="Pivot_tables!N8">
            <xdr:nvSpPr>
              <xdr:cNvPr id="98" name="TextBox 97">
                <a:extLst>
                  <a:ext uri="{FF2B5EF4-FFF2-40B4-BE49-F238E27FC236}">
                    <a16:creationId xmlns:a16="http://schemas.microsoft.com/office/drawing/2014/main" id="{00000000-0008-0000-0000-000062000000}"/>
                  </a:ext>
                </a:extLst>
              </xdr:cNvPr>
              <xdr:cNvSpPr txBox="1"/>
            </xdr:nvSpPr>
            <xdr:spPr>
              <a:xfrm>
                <a:off x="3552525" y="47517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5A2B062-F4CA-4BA0-8D9D-7962DF85B2E9}" type="TxLink">
                  <a:rPr lang="en-US" sz="1100" b="0" i="0" u="none" strike="noStrike">
                    <a:solidFill>
                      <a:schemeClr val="bg1"/>
                    </a:solidFill>
                    <a:latin typeface="Avenir Next LT Pro"/>
                    <a:cs typeface="Arial"/>
                  </a:rPr>
                  <a:pPr algn="r"/>
                  <a:t>2.14%</a:t>
                </a:fld>
                <a:endParaRPr lang="en-CA" sz="1100">
                  <a:solidFill>
                    <a:schemeClr val="bg1"/>
                  </a:solidFill>
                  <a:latin typeface="Avenir Next LT Pro" panose="020B0504020202020204" pitchFamily="34" charset="0"/>
                </a:endParaRPr>
              </a:p>
            </xdr:txBody>
          </xdr:sp>
          <xdr:sp macro="" textlink="Pivot_tables!N9">
            <xdr:nvSpPr>
              <xdr:cNvPr id="99" name="TextBox 98">
                <a:extLst>
                  <a:ext uri="{FF2B5EF4-FFF2-40B4-BE49-F238E27FC236}">
                    <a16:creationId xmlns:a16="http://schemas.microsoft.com/office/drawing/2014/main" id="{00000000-0008-0000-0000-000063000000}"/>
                  </a:ext>
                </a:extLst>
              </xdr:cNvPr>
              <xdr:cNvSpPr txBox="1"/>
            </xdr:nvSpPr>
            <xdr:spPr>
              <a:xfrm>
                <a:off x="3552525" y="49893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381FD76-9266-4CDC-96E5-E9FCBE75CCD3}" type="TxLink">
                  <a:rPr lang="en-US" sz="1100" b="0" i="0" u="none" strike="noStrike">
                    <a:solidFill>
                      <a:schemeClr val="bg1"/>
                    </a:solidFill>
                    <a:latin typeface="Avenir Next LT Pro"/>
                    <a:cs typeface="Arial"/>
                  </a:rPr>
                  <a:pPr algn="r"/>
                  <a:t>4.53%</a:t>
                </a:fld>
                <a:endParaRPr lang="en-CA" sz="1100">
                  <a:solidFill>
                    <a:schemeClr val="bg1"/>
                  </a:solidFill>
                  <a:latin typeface="Avenir Next LT Pro" panose="020B0504020202020204" pitchFamily="34" charset="0"/>
                </a:endParaRPr>
              </a:p>
            </xdr:txBody>
          </xdr:sp>
          <xdr:sp macro="" textlink="Pivot_tables!N10">
            <xdr:nvSpPr>
              <xdr:cNvPr id="100" name="TextBox 99">
                <a:extLst>
                  <a:ext uri="{FF2B5EF4-FFF2-40B4-BE49-F238E27FC236}">
                    <a16:creationId xmlns:a16="http://schemas.microsoft.com/office/drawing/2014/main" id="{00000000-0008-0000-0000-000064000000}"/>
                  </a:ext>
                </a:extLst>
              </xdr:cNvPr>
              <xdr:cNvSpPr txBox="1"/>
            </xdr:nvSpPr>
            <xdr:spPr>
              <a:xfrm>
                <a:off x="3552525" y="52268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FB30637-D9F5-4242-9E66-E0710D6F2977}" type="TxLink">
                  <a:rPr lang="en-US" sz="1100" b="0" i="0" u="none" strike="noStrike">
                    <a:solidFill>
                      <a:schemeClr val="bg1"/>
                    </a:solidFill>
                    <a:latin typeface="Avenir Next LT Pro"/>
                    <a:cs typeface="Arial"/>
                  </a:rPr>
                  <a:pPr algn="r"/>
                  <a:t>9.88%</a:t>
                </a:fld>
                <a:endParaRPr lang="en-CA" sz="1100">
                  <a:solidFill>
                    <a:schemeClr val="bg1"/>
                  </a:solidFill>
                  <a:latin typeface="Avenir Next LT Pro" panose="020B0504020202020204" pitchFamily="34" charset="0"/>
                </a:endParaRPr>
              </a:p>
            </xdr:txBody>
          </xdr:sp>
          <xdr:sp macro="" textlink="Pivot_tables!N11">
            <xdr:nvSpPr>
              <xdr:cNvPr id="101" name="TextBox 100">
                <a:extLst>
                  <a:ext uri="{FF2B5EF4-FFF2-40B4-BE49-F238E27FC236}">
                    <a16:creationId xmlns:a16="http://schemas.microsoft.com/office/drawing/2014/main" id="{00000000-0008-0000-0000-000065000000}"/>
                  </a:ext>
                </a:extLst>
              </xdr:cNvPr>
              <xdr:cNvSpPr txBox="1"/>
            </xdr:nvSpPr>
            <xdr:spPr>
              <a:xfrm>
                <a:off x="3552525" y="54643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BF4B232-D5BB-4489-91D8-9B87F7135C50}" type="TxLink">
                  <a:rPr lang="en-US" sz="1100" b="0" i="0" u="none" strike="noStrike">
                    <a:solidFill>
                      <a:schemeClr val="bg1"/>
                    </a:solidFill>
                    <a:latin typeface="Avenir Next LT Pro"/>
                    <a:cs typeface="Arial"/>
                  </a:rPr>
                  <a:pPr algn="r"/>
                  <a:t>0.72%</a:t>
                </a:fld>
                <a:endParaRPr lang="en-CA" sz="1100">
                  <a:solidFill>
                    <a:schemeClr val="bg1"/>
                  </a:solidFill>
                  <a:latin typeface="Avenir Next LT Pro" panose="020B0504020202020204" pitchFamily="34" charset="0"/>
                </a:endParaRPr>
              </a:p>
            </xdr:txBody>
          </xdr:sp>
          <xdr:sp macro="" textlink="Pivot_tables!N12">
            <xdr:nvSpPr>
              <xdr:cNvPr id="102" name="TextBox 101">
                <a:extLst>
                  <a:ext uri="{FF2B5EF4-FFF2-40B4-BE49-F238E27FC236}">
                    <a16:creationId xmlns:a16="http://schemas.microsoft.com/office/drawing/2014/main" id="{00000000-0008-0000-0000-000066000000}"/>
                  </a:ext>
                </a:extLst>
              </xdr:cNvPr>
              <xdr:cNvSpPr txBox="1"/>
            </xdr:nvSpPr>
            <xdr:spPr>
              <a:xfrm>
                <a:off x="3552525" y="570190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05B6E00-FAFC-4C38-8E14-F1E0444A585E}" type="TxLink">
                  <a:rPr lang="en-US" sz="1100" b="0" i="0" u="none" strike="noStrike">
                    <a:solidFill>
                      <a:schemeClr val="bg1"/>
                    </a:solidFill>
                    <a:latin typeface="Avenir Next LT Pro"/>
                    <a:cs typeface="Arial"/>
                  </a:rPr>
                  <a:pPr algn="r"/>
                  <a:t>2.35%</a:t>
                </a:fld>
                <a:endParaRPr lang="en-CA" sz="1100">
                  <a:solidFill>
                    <a:schemeClr val="bg1"/>
                  </a:solidFill>
                  <a:latin typeface="Avenir Next LT Pro" panose="020B0504020202020204" pitchFamily="34" charset="0"/>
                </a:endParaRPr>
              </a:p>
            </xdr:txBody>
          </xdr:sp>
          <xdr:sp macro="" textlink="Pivot_tables!N13">
            <xdr:nvSpPr>
              <xdr:cNvPr id="103" name="TextBox 102">
                <a:extLst>
                  <a:ext uri="{FF2B5EF4-FFF2-40B4-BE49-F238E27FC236}">
                    <a16:creationId xmlns:a16="http://schemas.microsoft.com/office/drawing/2014/main" id="{00000000-0008-0000-0000-000067000000}"/>
                  </a:ext>
                </a:extLst>
              </xdr:cNvPr>
              <xdr:cNvSpPr txBox="1"/>
            </xdr:nvSpPr>
            <xdr:spPr>
              <a:xfrm>
                <a:off x="3552525" y="593943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3B8928A-7264-43BA-AF3E-CA9DD650F091}" type="TxLink">
                  <a:rPr lang="en-US" sz="1100" b="0" i="0" u="none" strike="noStrike">
                    <a:solidFill>
                      <a:schemeClr val="bg1"/>
                    </a:solidFill>
                    <a:latin typeface="Avenir Next LT Pro"/>
                    <a:cs typeface="Arial"/>
                  </a:rPr>
                  <a:pPr algn="r"/>
                  <a:t>3.60%</a:t>
                </a:fld>
                <a:endParaRPr lang="en-CA" sz="1100">
                  <a:solidFill>
                    <a:schemeClr val="bg1"/>
                  </a:solidFill>
                  <a:latin typeface="Avenir Next LT Pro" panose="020B0504020202020204" pitchFamily="34" charset="0"/>
                </a:endParaRPr>
              </a:p>
            </xdr:txBody>
          </xdr:sp>
          <xdr:sp macro="" textlink="Pivot_tables!N14">
            <xdr:nvSpPr>
              <xdr:cNvPr id="104" name="TextBox 103">
                <a:extLst>
                  <a:ext uri="{FF2B5EF4-FFF2-40B4-BE49-F238E27FC236}">
                    <a16:creationId xmlns:a16="http://schemas.microsoft.com/office/drawing/2014/main" id="{00000000-0008-0000-0000-000068000000}"/>
                  </a:ext>
                </a:extLst>
              </xdr:cNvPr>
              <xdr:cNvSpPr txBox="1"/>
            </xdr:nvSpPr>
            <xdr:spPr>
              <a:xfrm>
                <a:off x="3552525" y="617696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60B63F2-5EBE-4C41-943E-19F2B7E24ABB}"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15">
            <xdr:nvSpPr>
              <xdr:cNvPr id="105" name="TextBox 104">
                <a:extLst>
                  <a:ext uri="{FF2B5EF4-FFF2-40B4-BE49-F238E27FC236}">
                    <a16:creationId xmlns:a16="http://schemas.microsoft.com/office/drawing/2014/main" id="{00000000-0008-0000-0000-000069000000}"/>
                  </a:ext>
                </a:extLst>
              </xdr:cNvPr>
              <xdr:cNvSpPr txBox="1"/>
            </xdr:nvSpPr>
            <xdr:spPr>
              <a:xfrm>
                <a:off x="3552525" y="641449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60FC61-4788-4F0D-BC18-4B61889B7083}" type="TxLink">
                  <a:rPr lang="en-US" sz="1100" b="0" i="0" u="none" strike="noStrike">
                    <a:solidFill>
                      <a:schemeClr val="bg1"/>
                    </a:solidFill>
                    <a:latin typeface="Avenir Next LT Pro"/>
                    <a:cs typeface="Arial"/>
                  </a:rPr>
                  <a:pPr algn="r"/>
                  <a:t>3.58%</a:t>
                </a:fld>
                <a:endParaRPr lang="en-CA" sz="1100">
                  <a:solidFill>
                    <a:schemeClr val="bg1"/>
                  </a:solidFill>
                  <a:latin typeface="Avenir Next LT Pro" panose="020B0504020202020204" pitchFamily="34" charset="0"/>
                </a:endParaRPr>
              </a:p>
            </xdr:txBody>
          </xdr:sp>
          <xdr:sp macro="" textlink="Pivot_tables!N16">
            <xdr:nvSpPr>
              <xdr:cNvPr id="106" name="TextBox 105">
                <a:extLst>
                  <a:ext uri="{FF2B5EF4-FFF2-40B4-BE49-F238E27FC236}">
                    <a16:creationId xmlns:a16="http://schemas.microsoft.com/office/drawing/2014/main" id="{00000000-0008-0000-0000-00006A000000}"/>
                  </a:ext>
                </a:extLst>
              </xdr:cNvPr>
              <xdr:cNvSpPr txBox="1"/>
            </xdr:nvSpPr>
            <xdr:spPr>
              <a:xfrm>
                <a:off x="3552525" y="66520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AC266F-A057-4057-A3C7-2D606C3A7289}" type="TxLink">
                  <a:rPr lang="en-US" sz="1100" b="0" i="0" u="none" strike="noStrike">
                    <a:solidFill>
                      <a:schemeClr val="bg1"/>
                    </a:solidFill>
                    <a:latin typeface="Avenir Next LT Pro"/>
                    <a:cs typeface="Arial"/>
                  </a:rPr>
                  <a:pPr algn="r"/>
                  <a:t>13.87%</a:t>
                </a:fld>
                <a:endParaRPr lang="en-CA" sz="1100">
                  <a:solidFill>
                    <a:schemeClr val="bg1"/>
                  </a:solidFill>
                  <a:latin typeface="Avenir Next LT Pro" panose="020B0504020202020204" pitchFamily="34" charset="0"/>
                </a:endParaRPr>
              </a:p>
            </xdr:txBody>
          </xdr:sp>
          <xdr:sp macro="" textlink="Pivot_tables!N17">
            <xdr:nvSpPr>
              <xdr:cNvPr id="107" name="TextBox 106">
                <a:extLst>
                  <a:ext uri="{FF2B5EF4-FFF2-40B4-BE49-F238E27FC236}">
                    <a16:creationId xmlns:a16="http://schemas.microsoft.com/office/drawing/2014/main" id="{00000000-0008-0000-0000-00006B000000}"/>
                  </a:ext>
                </a:extLst>
              </xdr:cNvPr>
              <xdr:cNvSpPr txBox="1"/>
            </xdr:nvSpPr>
            <xdr:spPr>
              <a:xfrm>
                <a:off x="3552525" y="68895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08DF5426-E4D8-4432-B944-EDDCF89082C5}" type="TxLink">
                  <a:rPr lang="en-US" sz="1100" b="0" i="0" u="none" strike="noStrike">
                    <a:solidFill>
                      <a:schemeClr val="bg1"/>
                    </a:solidFill>
                    <a:latin typeface="Avenir Next LT Pro"/>
                    <a:cs typeface="Arial"/>
                  </a:rPr>
                  <a:pPr algn="r"/>
                  <a:t>10.93%</a:t>
                </a:fld>
                <a:endParaRPr lang="en-CA" sz="1100">
                  <a:solidFill>
                    <a:schemeClr val="bg1"/>
                  </a:solidFill>
                  <a:latin typeface="Avenir Next LT Pro" panose="020B0504020202020204" pitchFamily="34" charset="0"/>
                </a:endParaRPr>
              </a:p>
            </xdr:txBody>
          </xdr:sp>
          <xdr:sp macro="" textlink="Pivot_tables!N18">
            <xdr:nvSpPr>
              <xdr:cNvPr id="108" name="TextBox 107">
                <a:extLst>
                  <a:ext uri="{FF2B5EF4-FFF2-40B4-BE49-F238E27FC236}">
                    <a16:creationId xmlns:a16="http://schemas.microsoft.com/office/drawing/2014/main" id="{00000000-0008-0000-0000-00006C000000}"/>
                  </a:ext>
                </a:extLst>
              </xdr:cNvPr>
              <xdr:cNvSpPr txBox="1"/>
            </xdr:nvSpPr>
            <xdr:spPr>
              <a:xfrm>
                <a:off x="3552525" y="71270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4187F5-F30D-41AA-B4A3-94B36E9C5A18}" type="TxLink">
                  <a:rPr lang="en-US" sz="1100" b="0" i="0" u="none" strike="noStrike">
                    <a:solidFill>
                      <a:schemeClr val="bg1"/>
                    </a:solidFill>
                    <a:latin typeface="Avenir Next LT Pro"/>
                    <a:cs typeface="Arial"/>
                  </a:rPr>
                  <a:pPr algn="r"/>
                  <a:t>2.00%</a:t>
                </a:fld>
                <a:endParaRPr lang="en-CA" sz="1100">
                  <a:solidFill>
                    <a:schemeClr val="bg1"/>
                  </a:solidFill>
                  <a:latin typeface="Avenir Next LT Pro" panose="020B0504020202020204" pitchFamily="34" charset="0"/>
                </a:endParaRPr>
              </a:p>
            </xdr:txBody>
          </xdr:sp>
          <xdr:sp macro="" textlink="Pivot_tables!N19">
            <xdr:nvSpPr>
              <xdr:cNvPr id="109" name="TextBox 108">
                <a:extLst>
                  <a:ext uri="{FF2B5EF4-FFF2-40B4-BE49-F238E27FC236}">
                    <a16:creationId xmlns:a16="http://schemas.microsoft.com/office/drawing/2014/main" id="{00000000-0008-0000-0000-00006D000000}"/>
                  </a:ext>
                </a:extLst>
              </xdr:cNvPr>
              <xdr:cNvSpPr txBox="1"/>
            </xdr:nvSpPr>
            <xdr:spPr>
              <a:xfrm>
                <a:off x="3552525" y="73646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5E55895-62F8-4ED4-976D-06057E59332E}" type="TxLink">
                  <a:rPr lang="en-US" sz="1100" b="0" i="0" u="none" strike="noStrike">
                    <a:solidFill>
                      <a:schemeClr val="bg1"/>
                    </a:solidFill>
                    <a:latin typeface="Avenir Next LT Pro"/>
                    <a:cs typeface="Arial"/>
                  </a:rPr>
                  <a:pPr algn="r"/>
                  <a:t>1.69%</a:t>
                </a:fld>
                <a:endParaRPr lang="en-CA" sz="1100">
                  <a:solidFill>
                    <a:schemeClr val="bg1"/>
                  </a:solidFill>
                  <a:latin typeface="Avenir Next LT Pro" panose="020B0504020202020204" pitchFamily="34" charset="0"/>
                </a:endParaRPr>
              </a:p>
            </xdr:txBody>
          </xdr:sp>
          <xdr:sp macro="" textlink="Pivot_tables!N20">
            <xdr:nvSpPr>
              <xdr:cNvPr id="110" name="TextBox 109">
                <a:extLst>
                  <a:ext uri="{FF2B5EF4-FFF2-40B4-BE49-F238E27FC236}">
                    <a16:creationId xmlns:a16="http://schemas.microsoft.com/office/drawing/2014/main" id="{00000000-0008-0000-0000-00006E000000}"/>
                  </a:ext>
                </a:extLst>
              </xdr:cNvPr>
              <xdr:cNvSpPr txBox="1"/>
            </xdr:nvSpPr>
            <xdr:spPr>
              <a:xfrm>
                <a:off x="3552525" y="76021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A6CA955-A252-492E-9291-16BF79041D46}" type="TxLink">
                  <a:rPr lang="en-US" sz="1100" b="0" i="0" u="none" strike="noStrike">
                    <a:solidFill>
                      <a:schemeClr val="bg1"/>
                    </a:solidFill>
                    <a:latin typeface="Avenir Next LT Pro"/>
                    <a:cs typeface="Arial"/>
                  </a:rPr>
                  <a:pPr algn="r"/>
                  <a:t>7.53%</a:t>
                </a:fld>
                <a:endParaRPr lang="en-CA" sz="1100">
                  <a:solidFill>
                    <a:schemeClr val="bg1"/>
                  </a:solidFill>
                  <a:latin typeface="Avenir Next LT Pro" panose="020B0504020202020204" pitchFamily="34" charset="0"/>
                </a:endParaRPr>
              </a:p>
            </xdr:txBody>
          </xdr:sp>
          <xdr:sp macro="" textlink="Pivot_tables!N21">
            <xdr:nvSpPr>
              <xdr:cNvPr id="111" name="TextBox 110">
                <a:extLst>
                  <a:ext uri="{FF2B5EF4-FFF2-40B4-BE49-F238E27FC236}">
                    <a16:creationId xmlns:a16="http://schemas.microsoft.com/office/drawing/2014/main" id="{00000000-0008-0000-0000-00006F000000}"/>
                  </a:ext>
                </a:extLst>
              </xdr:cNvPr>
              <xdr:cNvSpPr txBox="1"/>
            </xdr:nvSpPr>
            <xdr:spPr>
              <a:xfrm>
                <a:off x="3552525" y="78396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D34AB39-88B2-43C7-8FBC-883571B72547}" type="TxLink">
                  <a:rPr lang="en-US" sz="1100" b="0" i="0" u="none" strike="noStrike">
                    <a:solidFill>
                      <a:schemeClr val="bg1"/>
                    </a:solidFill>
                    <a:latin typeface="Avenir Next LT Pro"/>
                    <a:cs typeface="Arial"/>
                  </a:rPr>
                  <a:pPr algn="r"/>
                  <a:t>3.51%</a:t>
                </a:fld>
                <a:endParaRPr lang="en-CA" sz="1100">
                  <a:solidFill>
                    <a:schemeClr val="bg1"/>
                  </a:solidFill>
                  <a:latin typeface="Avenir Next LT Pro" panose="020B0504020202020204" pitchFamily="34" charset="0"/>
                </a:endParaRPr>
              </a:p>
            </xdr:txBody>
          </xdr:sp>
          <xdr:sp macro="" textlink="Pivot_tables!N22">
            <xdr:nvSpPr>
              <xdr:cNvPr id="112" name="TextBox 111">
                <a:extLst>
                  <a:ext uri="{FF2B5EF4-FFF2-40B4-BE49-F238E27FC236}">
                    <a16:creationId xmlns:a16="http://schemas.microsoft.com/office/drawing/2014/main" id="{00000000-0008-0000-0000-000070000000}"/>
                  </a:ext>
                </a:extLst>
              </xdr:cNvPr>
              <xdr:cNvSpPr txBox="1"/>
            </xdr:nvSpPr>
            <xdr:spPr>
              <a:xfrm>
                <a:off x="3552525" y="80772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CBF5C3C-9F7B-47A6-B2D3-3A407E13A96F}"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6">
            <xdr:nvSpPr>
              <xdr:cNvPr id="113" name="TextBox 112">
                <a:extLst>
                  <a:ext uri="{FF2B5EF4-FFF2-40B4-BE49-F238E27FC236}">
                    <a16:creationId xmlns:a16="http://schemas.microsoft.com/office/drawing/2014/main" id="{00000000-0008-0000-0000-000071000000}"/>
                  </a:ext>
                </a:extLst>
              </xdr:cNvPr>
              <xdr:cNvSpPr txBox="1"/>
            </xdr:nvSpPr>
            <xdr:spPr>
              <a:xfrm>
                <a:off x="3552525" y="42862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F5C124B-A3F2-4213-960B-D89266D6F483}" type="TxLink">
                  <a:rPr lang="en-US" sz="1100" b="0" i="0" u="none" strike="noStrike">
                    <a:solidFill>
                      <a:schemeClr val="bg1"/>
                    </a:solidFill>
                    <a:latin typeface="Avenir Next LT Pro"/>
                    <a:cs typeface="Arial"/>
                  </a:rPr>
                  <a:pPr algn="r"/>
                  <a:t>4.73%</a:t>
                </a:fld>
                <a:endParaRPr lang="en-CA" sz="1100">
                  <a:solidFill>
                    <a:schemeClr val="bg1"/>
                  </a:solidFill>
                  <a:latin typeface="Avenir Next LT Pro" panose="020B0504020202020204" pitchFamily="34" charset="0"/>
                </a:endParaRP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3205014" y="3905250"/>
              <a:ext cx="1090462"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D43260"/>
                  </a:solidFill>
                  <a:latin typeface="Avenir Next LT Pro" panose="020B0504020202020204" pitchFamily="34" charset="0"/>
                </a:rPr>
                <a:t>Quantity %</a:t>
              </a:r>
            </a:p>
          </xdr:txBody>
        </xdr:sp>
      </xdr:grpSp>
    </xdr:grpSp>
    <xdr:clientData/>
  </xdr:twoCellAnchor>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15</xdr:col>
          <xdr:colOff>161925</xdr:colOff>
          <xdr:row>13</xdr:row>
          <xdr:rowOff>142875</xdr:rowOff>
        </xdr:to>
        <xdr:pic>
          <xdr:nvPicPr>
            <xdr:cNvPr id="123" name="CustomTooltip" hidden="1">
              <a:extLst>
                <a:ext uri="{FF2B5EF4-FFF2-40B4-BE49-F238E27FC236}">
                  <a16:creationId xmlns:a16="http://schemas.microsoft.com/office/drawing/2014/main" id="{00000000-0008-0000-0000-00007B000000}"/>
                </a:ext>
              </a:extLst>
            </xdr:cNvPr>
            <xdr:cNvPicPr>
              <a:picLocks noChangeAspect="1" noChangeArrowheads="1"/>
              <a:extLst>
                <a:ext uri="{84589F7E-364E-4C9E-8A38-B11213B215E9}">
                  <a14:cameraTool cellRange="Pivot_tables!$B$47:$D$51" spid="_x0000_s1821"/>
                </a:ext>
              </a:extLst>
            </xdr:cNvPicPr>
          </xdr:nvPicPr>
          <xdr:blipFill>
            <a:blip xmlns:r="http://schemas.openxmlformats.org/officeDocument/2006/relationships" r:embed="rId14"/>
            <a:srcRect/>
            <a:stretch>
              <a:fillRect/>
            </a:stretch>
          </xdr:blipFill>
          <xdr:spPr bwMode="auto">
            <a:xfrm>
              <a:off x="5486400" y="971550"/>
              <a:ext cx="3819525" cy="1276350"/>
            </a:xfrm>
            <a:prstGeom prst="rect">
              <a:avLst/>
            </a:prstGeom>
            <a:ln w="88900" cap="sq" cmpd="thickThin">
              <a:solidFill>
                <a:srgbClr val="000000"/>
              </a:solidFill>
              <a:prstDash val="solid"/>
              <a:miter lim="800000"/>
            </a:ln>
            <a:effectLst>
              <a:innerShdw blurRad="76200">
                <a:srgbClr val="000000"/>
              </a:innerShdw>
            </a:effectLst>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27</xdr:col>
      <xdr:colOff>9525</xdr:colOff>
      <xdr:row>48</xdr:row>
      <xdr:rowOff>114300</xdr:rowOff>
    </xdr:from>
    <xdr:to>
      <xdr:col>30</xdr:col>
      <xdr:colOff>9525</xdr:colOff>
      <xdr:row>55</xdr:row>
      <xdr:rowOff>66675</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16468725" y="8315325"/>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95250</xdr:colOff>
      <xdr:row>26</xdr:row>
      <xdr:rowOff>57150</xdr:rowOff>
    </xdr:from>
    <xdr:to>
      <xdr:col>11</xdr:col>
      <xdr:colOff>95250</xdr:colOff>
      <xdr:row>34</xdr:row>
      <xdr:rowOff>19050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4972050" y="4267200"/>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180975</xdr:colOff>
      <xdr:row>26</xdr:row>
      <xdr:rowOff>57150</xdr:rowOff>
    </xdr:from>
    <xdr:to>
      <xdr:col>21</xdr:col>
      <xdr:colOff>180975</xdr:colOff>
      <xdr:row>34</xdr:row>
      <xdr:rowOff>19050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11153775" y="4267200"/>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373779</xdr:colOff>
      <xdr:row>6</xdr:row>
      <xdr:rowOff>114300</xdr:rowOff>
    </xdr:from>
    <xdr:to>
      <xdr:col>28</xdr:col>
      <xdr:colOff>584979</xdr:colOff>
      <xdr:row>26</xdr:row>
      <xdr:rowOff>58649</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475125</xdr:colOff>
      <xdr:row>27</xdr:row>
      <xdr:rowOff>86025</xdr:rowOff>
    </xdr:from>
    <xdr:to>
      <xdr:col>18</xdr:col>
      <xdr:colOff>458325</xdr:colOff>
      <xdr:row>33</xdr:row>
      <xdr:rowOff>14475</xdr:rowOff>
    </xdr:to>
    <mc:AlternateContent xmlns:mc="http://schemas.openxmlformats.org/markup-compatibility/2006" xmlns:a14="http://schemas.microsoft.com/office/drawing/2010/main">
      <mc:Choice Requires="a14">
        <xdr:graphicFrame macro="">
          <xdr:nvGraphicFramePr>
            <xdr:cNvPr id="14" name="Customer Segment">
              <a:extLst>
                <a:ext uri="{FF2B5EF4-FFF2-40B4-BE49-F238E27FC236}">
                  <a16:creationId xmlns:a16="http://schemas.microsoft.com/office/drawing/2014/main" id="{00000000-0008-0000-0100-00000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6571125" y="4458000"/>
              <a:ext cx="486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391854</xdr:colOff>
      <xdr:row>27</xdr:row>
      <xdr:rowOff>57450</xdr:rowOff>
    </xdr:from>
    <xdr:to>
      <xdr:col>8</xdr:col>
      <xdr:colOff>444654</xdr:colOff>
      <xdr:row>32</xdr:row>
      <xdr:rowOff>147825</xdr:rowOff>
    </xdr:to>
    <mc:AlternateContent xmlns:mc="http://schemas.openxmlformats.org/markup-compatibility/2006" xmlns:a14="http://schemas.microsoft.com/office/drawing/2010/main">
      <mc:Choice Requires="a14">
        <xdr:graphicFrame macro="">
          <xdr:nvGraphicFramePr>
            <xdr:cNvPr id="19" name="Order Date (Month) 1">
              <a:extLst>
                <a:ext uri="{FF2B5EF4-FFF2-40B4-BE49-F238E27FC236}">
                  <a16:creationId xmlns:a16="http://schemas.microsoft.com/office/drawing/2014/main" id="{00000000-0008-0000-01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1001454" y="4429425"/>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504579</xdr:colOff>
      <xdr:row>27</xdr:row>
      <xdr:rowOff>86025</xdr:rowOff>
    </xdr:from>
    <xdr:to>
      <xdr:col>27</xdr:col>
      <xdr:colOff>557379</xdr:colOff>
      <xdr:row>33</xdr:row>
      <xdr:rowOff>14475</xdr:rowOff>
    </xdr:to>
    <mc:AlternateContent xmlns:mc="http://schemas.openxmlformats.org/markup-compatibility/2006" xmlns:a14="http://schemas.microsoft.com/office/drawing/2010/main">
      <mc:Choice Requires="a14">
        <xdr:graphicFrame macro="">
          <xdr:nvGraphicFramePr>
            <xdr:cNvPr id="16" name="Manager">
              <a:extLst>
                <a:ext uri="{FF2B5EF4-FFF2-40B4-BE49-F238E27FC236}">
                  <a16:creationId xmlns:a16="http://schemas.microsoft.com/office/drawing/2014/main" id="{00000000-0008-0000-01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2696579" y="4458000"/>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507981</xdr:colOff>
      <xdr:row>33</xdr:row>
      <xdr:rowOff>62643</xdr:rowOff>
    </xdr:from>
    <xdr:to>
      <xdr:col>6</xdr:col>
      <xdr:colOff>339981</xdr:colOff>
      <xdr:row>41</xdr:row>
      <xdr:rowOff>158643</xdr:rowOff>
    </xdr:to>
    <xdr:grpSp>
      <xdr:nvGrpSpPr>
        <xdr:cNvPr id="2255" name="Group 2254">
          <a:extLst>
            <a:ext uri="{FF2B5EF4-FFF2-40B4-BE49-F238E27FC236}">
              <a16:creationId xmlns:a16="http://schemas.microsoft.com/office/drawing/2014/main" id="{00000000-0008-0000-0100-0000CF080000}"/>
            </a:ext>
          </a:extLst>
        </xdr:cNvPr>
        <xdr:cNvGrpSpPr/>
      </xdr:nvGrpSpPr>
      <xdr:grpSpPr>
        <a:xfrm>
          <a:off x="1117581" y="5406168"/>
          <a:ext cx="2880000" cy="1620000"/>
          <a:chOff x="402354" y="5301393"/>
          <a:chExt cx="2880000" cy="1620000"/>
        </a:xfrm>
      </xdr:grpSpPr>
      <xdr:grpSp>
        <xdr:nvGrpSpPr>
          <xdr:cNvPr id="2245" name="Group 2244">
            <a:extLst>
              <a:ext uri="{FF2B5EF4-FFF2-40B4-BE49-F238E27FC236}">
                <a16:creationId xmlns:a16="http://schemas.microsoft.com/office/drawing/2014/main" id="{00000000-0008-0000-0100-0000C5080000}"/>
              </a:ext>
            </a:extLst>
          </xdr:cNvPr>
          <xdr:cNvGrpSpPr/>
        </xdr:nvGrpSpPr>
        <xdr:grpSpPr>
          <a:xfrm>
            <a:off x="402354" y="5301393"/>
            <a:ext cx="2880000" cy="1620000"/>
            <a:chOff x="497604" y="5301393"/>
            <a:chExt cx="2880000" cy="1620000"/>
          </a:xfrm>
        </xdr:grpSpPr>
        <xdr:sp macro="" textlink="">
          <xdr:nvSpPr>
            <xdr:cNvPr id="2131" name="Rectangle: Rounded Corners 2130">
              <a:extLst>
                <a:ext uri="{FF2B5EF4-FFF2-40B4-BE49-F238E27FC236}">
                  <a16:creationId xmlns:a16="http://schemas.microsoft.com/office/drawing/2014/main" id="{00000000-0008-0000-0100-000053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2" name="Rectangle: Rounded Corners 2131">
              <a:extLst>
                <a:ext uri="{FF2B5EF4-FFF2-40B4-BE49-F238E27FC236}">
                  <a16:creationId xmlns:a16="http://schemas.microsoft.com/office/drawing/2014/main" id="{00000000-0008-0000-0100-000054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3" name="Rectangle: Rounded Corners 2132">
              <a:extLst>
                <a:ext uri="{FF2B5EF4-FFF2-40B4-BE49-F238E27FC236}">
                  <a16:creationId xmlns:a16="http://schemas.microsoft.com/office/drawing/2014/main" id="{00000000-0008-0000-0100-000055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38" name="Group 2137">
            <a:extLst>
              <a:ext uri="{FF2B5EF4-FFF2-40B4-BE49-F238E27FC236}">
                <a16:creationId xmlns:a16="http://schemas.microsoft.com/office/drawing/2014/main" id="{00000000-0008-0000-0100-00005A080000}"/>
              </a:ext>
            </a:extLst>
          </xdr:cNvPr>
          <xdr:cNvGrpSpPr/>
        </xdr:nvGrpSpPr>
        <xdr:grpSpPr>
          <a:xfrm>
            <a:off x="762354" y="5680443"/>
            <a:ext cx="2160000" cy="861900"/>
            <a:chOff x="600075" y="5481412"/>
            <a:chExt cx="2160000" cy="823187"/>
          </a:xfrm>
        </xdr:grpSpPr>
        <xdr:sp macro="" textlink="Pivot_tables!AR3">
          <xdr:nvSpPr>
            <xdr:cNvPr id="2097" name="TextBox 2096">
              <a:extLst>
                <a:ext uri="{FF2B5EF4-FFF2-40B4-BE49-F238E27FC236}">
                  <a16:creationId xmlns:a16="http://schemas.microsoft.com/office/drawing/2014/main" id="{00000000-0008-0000-0100-000031080000}"/>
                </a:ext>
              </a:extLst>
            </xdr:cNvPr>
            <xdr:cNvSpPr txBox="1"/>
          </xdr:nvSpPr>
          <xdr:spPr>
            <a:xfrm>
              <a:off x="600075" y="5854599"/>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357BF5-B8B6-4A63-9035-F19984F86E71}" type="TxLink">
                <a:rPr lang="en-US" sz="2400" b="0" i="0" u="none" strike="noStrike">
                  <a:solidFill>
                    <a:schemeClr val="bg1"/>
                  </a:solidFill>
                  <a:latin typeface="Avenir Next LT Pro"/>
                </a:rPr>
                <a:pPr algn="ctr"/>
                <a:t> 1,881,525 </a:t>
              </a:fld>
              <a:endParaRPr lang="en-CA" sz="2400">
                <a:solidFill>
                  <a:schemeClr val="bg1"/>
                </a:solidFill>
                <a:latin typeface="Avenir Next LT Pro" panose="020B0504020202020204" pitchFamily="34" charset="0"/>
              </a:endParaRPr>
            </a:p>
          </xdr:txBody>
        </xdr:sp>
        <xdr:sp macro="" textlink="">
          <xdr:nvSpPr>
            <xdr:cNvPr id="2102" name="TextBox 2101">
              <a:extLst>
                <a:ext uri="{FF2B5EF4-FFF2-40B4-BE49-F238E27FC236}">
                  <a16:creationId xmlns:a16="http://schemas.microsoft.com/office/drawing/2014/main" id="{00000000-0008-0000-0100-000036080000}"/>
                </a:ext>
              </a:extLst>
            </xdr:cNvPr>
            <xdr:cNvSpPr txBox="1"/>
          </xdr:nvSpPr>
          <xdr:spPr>
            <a:xfrm>
              <a:off x="600075" y="5481412"/>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800">
                  <a:solidFill>
                    <a:srgbClr val="D43260"/>
                  </a:solidFill>
                  <a:latin typeface="Avenir Next LT Pro" panose="020B0504020202020204" pitchFamily="34" charset="0"/>
                </a:rPr>
                <a:t>Total for Month/s</a:t>
              </a:r>
            </a:p>
          </xdr:txBody>
        </xdr:sp>
      </xdr:grpSp>
    </xdr:grpSp>
    <xdr:clientData/>
  </xdr:twoCellAnchor>
  <xdr:twoCellAnchor editAs="absolute">
    <xdr:from>
      <xdr:col>7</xdr:col>
      <xdr:colOff>79313</xdr:colOff>
      <xdr:row>33</xdr:row>
      <xdr:rowOff>62643</xdr:rowOff>
    </xdr:from>
    <xdr:to>
      <xdr:col>13</xdr:col>
      <xdr:colOff>381713</xdr:colOff>
      <xdr:row>52</xdr:row>
      <xdr:rowOff>43143</xdr:rowOff>
    </xdr:to>
    <xdr:grpSp>
      <xdr:nvGrpSpPr>
        <xdr:cNvPr id="2256" name="Group 2255">
          <a:extLst>
            <a:ext uri="{FF2B5EF4-FFF2-40B4-BE49-F238E27FC236}">
              <a16:creationId xmlns:a16="http://schemas.microsoft.com/office/drawing/2014/main" id="{00000000-0008-0000-0100-0000D0080000}"/>
            </a:ext>
          </a:extLst>
        </xdr:cNvPr>
        <xdr:cNvGrpSpPr/>
      </xdr:nvGrpSpPr>
      <xdr:grpSpPr>
        <a:xfrm>
          <a:off x="4346513" y="5406168"/>
          <a:ext cx="3960000" cy="3600000"/>
          <a:chOff x="3733114" y="5396643"/>
          <a:chExt cx="3960000" cy="3600000"/>
        </a:xfrm>
      </xdr:grpSpPr>
      <xdr:sp macro="" textlink="">
        <xdr:nvSpPr>
          <xdr:cNvPr id="2172" name="Rectangle: Rounded Corners 2171">
            <a:extLst>
              <a:ext uri="{FF2B5EF4-FFF2-40B4-BE49-F238E27FC236}">
                <a16:creationId xmlns:a16="http://schemas.microsoft.com/office/drawing/2014/main" id="{00000000-0008-0000-0100-00007C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3" name="Rectangle: Rounded Corners 2172">
            <a:extLst>
              <a:ext uri="{FF2B5EF4-FFF2-40B4-BE49-F238E27FC236}">
                <a16:creationId xmlns:a16="http://schemas.microsoft.com/office/drawing/2014/main" id="{00000000-0008-0000-0100-00007D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4" name="Rectangle: Rounded Corners 2173">
            <a:extLst>
              <a:ext uri="{FF2B5EF4-FFF2-40B4-BE49-F238E27FC236}">
                <a16:creationId xmlns:a16="http://schemas.microsoft.com/office/drawing/2014/main" id="{00000000-0008-0000-0100-00007E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xdr:col>
      <xdr:colOff>507981</xdr:colOff>
      <xdr:row>43</xdr:row>
      <xdr:rowOff>137643</xdr:rowOff>
    </xdr:from>
    <xdr:to>
      <xdr:col>6</xdr:col>
      <xdr:colOff>339981</xdr:colOff>
      <xdr:row>52</xdr:row>
      <xdr:rowOff>43143</xdr:rowOff>
    </xdr:to>
    <xdr:grpSp>
      <xdr:nvGrpSpPr>
        <xdr:cNvPr id="2254" name="Group 2253">
          <a:extLst>
            <a:ext uri="{FF2B5EF4-FFF2-40B4-BE49-F238E27FC236}">
              <a16:creationId xmlns:a16="http://schemas.microsoft.com/office/drawing/2014/main" id="{00000000-0008-0000-0100-0000CE080000}"/>
            </a:ext>
          </a:extLst>
        </xdr:cNvPr>
        <xdr:cNvGrpSpPr/>
      </xdr:nvGrpSpPr>
      <xdr:grpSpPr>
        <a:xfrm>
          <a:off x="1117581" y="7386168"/>
          <a:ext cx="2880000" cy="1620000"/>
          <a:chOff x="402354" y="7281393"/>
          <a:chExt cx="2880000" cy="1620000"/>
        </a:xfrm>
      </xdr:grpSpPr>
      <xdr:grpSp>
        <xdr:nvGrpSpPr>
          <xdr:cNvPr id="2250" name="Group 2249">
            <a:extLst>
              <a:ext uri="{FF2B5EF4-FFF2-40B4-BE49-F238E27FC236}">
                <a16:creationId xmlns:a16="http://schemas.microsoft.com/office/drawing/2014/main" id="{00000000-0008-0000-0100-0000CA080000}"/>
              </a:ext>
            </a:extLst>
          </xdr:cNvPr>
          <xdr:cNvGrpSpPr/>
        </xdr:nvGrpSpPr>
        <xdr:grpSpPr>
          <a:xfrm>
            <a:off x="402354" y="7281393"/>
            <a:ext cx="2880000" cy="1620000"/>
            <a:chOff x="497604" y="5301393"/>
            <a:chExt cx="2880000" cy="1620000"/>
          </a:xfrm>
        </xdr:grpSpPr>
        <xdr:sp macro="" textlink="">
          <xdr:nvSpPr>
            <xdr:cNvPr id="2251" name="Rectangle: Rounded Corners 2250">
              <a:extLst>
                <a:ext uri="{FF2B5EF4-FFF2-40B4-BE49-F238E27FC236}">
                  <a16:creationId xmlns:a16="http://schemas.microsoft.com/office/drawing/2014/main" id="{00000000-0008-0000-0100-0000CB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2" name="Rectangle: Rounded Corners 2251">
              <a:extLst>
                <a:ext uri="{FF2B5EF4-FFF2-40B4-BE49-F238E27FC236}">
                  <a16:creationId xmlns:a16="http://schemas.microsoft.com/office/drawing/2014/main" id="{00000000-0008-0000-0100-0000CC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3" name="Rectangle: Rounded Corners 2252">
              <a:extLst>
                <a:ext uri="{FF2B5EF4-FFF2-40B4-BE49-F238E27FC236}">
                  <a16:creationId xmlns:a16="http://schemas.microsoft.com/office/drawing/2014/main" id="{00000000-0008-0000-0100-0000CD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47" name="Group 2146">
            <a:extLst>
              <a:ext uri="{FF2B5EF4-FFF2-40B4-BE49-F238E27FC236}">
                <a16:creationId xmlns:a16="http://schemas.microsoft.com/office/drawing/2014/main" id="{00000000-0008-0000-0100-000063080000}"/>
              </a:ext>
            </a:extLst>
          </xdr:cNvPr>
          <xdr:cNvGrpSpPr/>
        </xdr:nvGrpSpPr>
        <xdr:grpSpPr>
          <a:xfrm>
            <a:off x="733778" y="7680656"/>
            <a:ext cx="2256219" cy="821475"/>
            <a:chOff x="571499" y="5481412"/>
            <a:chExt cx="2256219" cy="821475"/>
          </a:xfrm>
        </xdr:grpSpPr>
        <xdr:sp macro="" textlink="Pivot_tables!AR2">
          <xdr:nvSpPr>
            <xdr:cNvPr id="2148" name="TextBox 2147">
              <a:extLst>
                <a:ext uri="{FF2B5EF4-FFF2-40B4-BE49-F238E27FC236}">
                  <a16:creationId xmlns:a16="http://schemas.microsoft.com/office/drawing/2014/main" id="{00000000-0008-0000-0100-000064080000}"/>
                </a:ext>
              </a:extLst>
            </xdr:cNvPr>
            <xdr:cNvSpPr txBox="1"/>
          </xdr:nvSpPr>
          <xdr:spPr>
            <a:xfrm>
              <a:off x="600075" y="5852887"/>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EE9F27-6A9D-48DF-A119-496A2516F565}" type="TxLink">
                <a:rPr lang="en-US" sz="2400" b="0" i="0" u="none" strike="noStrike">
                  <a:solidFill>
                    <a:schemeClr val="bg1"/>
                  </a:solidFill>
                  <a:latin typeface="Avenir Next LT Pro"/>
                </a:rPr>
                <a:pPr algn="ctr"/>
                <a:t> 10,511 </a:t>
              </a:fld>
              <a:endParaRPr lang="en-CA" sz="2400">
                <a:solidFill>
                  <a:schemeClr val="bg1"/>
                </a:solidFill>
                <a:latin typeface="Avenir Next LT Pro" panose="020B0504020202020204" pitchFamily="34" charset="0"/>
              </a:endParaRPr>
            </a:p>
          </xdr:txBody>
        </xdr:sp>
        <xdr:sp macro="" textlink="">
          <xdr:nvSpPr>
            <xdr:cNvPr id="2149" name="TextBox 2148">
              <a:extLst>
                <a:ext uri="{FF2B5EF4-FFF2-40B4-BE49-F238E27FC236}">
                  <a16:creationId xmlns:a16="http://schemas.microsoft.com/office/drawing/2014/main" id="{00000000-0008-0000-0100-000065080000}"/>
                </a:ext>
              </a:extLst>
            </xdr:cNvPr>
            <xdr:cNvSpPr txBox="1"/>
          </xdr:nvSpPr>
          <xdr:spPr>
            <a:xfrm>
              <a:off x="571499" y="5481412"/>
              <a:ext cx="2256219"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800">
                  <a:solidFill>
                    <a:srgbClr val="D43260"/>
                  </a:solidFill>
                  <a:effectLst/>
                  <a:latin typeface="+mn-lt"/>
                  <a:ea typeface="+mn-ea"/>
                  <a:cs typeface="+mn-cs"/>
                </a:rPr>
                <a:t>Average for</a:t>
              </a:r>
              <a:r>
                <a:rPr lang="en-CA" sz="1800" baseline="0">
                  <a:solidFill>
                    <a:srgbClr val="D43260"/>
                  </a:solidFill>
                  <a:effectLst/>
                  <a:latin typeface="+mn-lt"/>
                  <a:ea typeface="+mn-ea"/>
                  <a:cs typeface="+mn-cs"/>
                </a:rPr>
                <a:t> Month/s</a:t>
              </a:r>
              <a:endParaRPr lang="en-CA" sz="1800">
                <a:solidFill>
                  <a:srgbClr val="D43260"/>
                </a:solidFill>
                <a:effectLst/>
              </a:endParaRPr>
            </a:p>
          </xdr:txBody>
        </xdr:sp>
      </xdr:grpSp>
    </xdr:grpSp>
    <xdr:clientData/>
  </xdr:twoCellAnchor>
  <xdr:twoCellAnchor editAs="absolute">
    <xdr:from>
      <xdr:col>14</xdr:col>
      <xdr:colOff>121045</xdr:colOff>
      <xdr:row>33</xdr:row>
      <xdr:rowOff>62643</xdr:rowOff>
    </xdr:from>
    <xdr:to>
      <xdr:col>20</xdr:col>
      <xdr:colOff>423445</xdr:colOff>
      <xdr:row>52</xdr:row>
      <xdr:rowOff>43143</xdr:rowOff>
    </xdr:to>
    <xdr:grpSp>
      <xdr:nvGrpSpPr>
        <xdr:cNvPr id="2261" name="Group 2260">
          <a:extLst>
            <a:ext uri="{FF2B5EF4-FFF2-40B4-BE49-F238E27FC236}">
              <a16:creationId xmlns:a16="http://schemas.microsoft.com/office/drawing/2014/main" id="{00000000-0008-0000-0100-0000D5080000}"/>
            </a:ext>
          </a:extLst>
        </xdr:cNvPr>
        <xdr:cNvGrpSpPr/>
      </xdr:nvGrpSpPr>
      <xdr:grpSpPr>
        <a:xfrm rot="10800000">
          <a:off x="8655445" y="5406168"/>
          <a:ext cx="3960000" cy="3600000"/>
          <a:chOff x="3733114" y="5396643"/>
          <a:chExt cx="3960000" cy="3600000"/>
        </a:xfrm>
      </xdr:grpSpPr>
      <xdr:sp macro="" textlink="">
        <xdr:nvSpPr>
          <xdr:cNvPr id="2262" name="Rectangle: Rounded Corners 2261">
            <a:extLst>
              <a:ext uri="{FF2B5EF4-FFF2-40B4-BE49-F238E27FC236}">
                <a16:creationId xmlns:a16="http://schemas.microsoft.com/office/drawing/2014/main" id="{00000000-0008-0000-0100-0000D6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3" name="Rectangle: Rounded Corners 2262">
            <a:extLst>
              <a:ext uri="{FF2B5EF4-FFF2-40B4-BE49-F238E27FC236}">
                <a16:creationId xmlns:a16="http://schemas.microsoft.com/office/drawing/2014/main" id="{00000000-0008-0000-0100-0000D7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4" name="Rectangle: Rounded Corners 2263">
            <a:extLst>
              <a:ext uri="{FF2B5EF4-FFF2-40B4-BE49-F238E27FC236}">
                <a16:creationId xmlns:a16="http://schemas.microsoft.com/office/drawing/2014/main" id="{00000000-0008-0000-0100-0000D8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21</xdr:col>
      <xdr:colOff>162777</xdr:colOff>
      <xdr:row>33</xdr:row>
      <xdr:rowOff>62643</xdr:rowOff>
    </xdr:from>
    <xdr:to>
      <xdr:col>27</xdr:col>
      <xdr:colOff>465177</xdr:colOff>
      <xdr:row>52</xdr:row>
      <xdr:rowOff>43143</xdr:rowOff>
    </xdr:to>
    <xdr:grpSp>
      <xdr:nvGrpSpPr>
        <xdr:cNvPr id="2265" name="Group 2264">
          <a:extLst>
            <a:ext uri="{FF2B5EF4-FFF2-40B4-BE49-F238E27FC236}">
              <a16:creationId xmlns:a16="http://schemas.microsoft.com/office/drawing/2014/main" id="{00000000-0008-0000-0100-0000D9080000}"/>
            </a:ext>
          </a:extLst>
        </xdr:cNvPr>
        <xdr:cNvGrpSpPr/>
      </xdr:nvGrpSpPr>
      <xdr:grpSpPr>
        <a:xfrm>
          <a:off x="12964377" y="5406168"/>
          <a:ext cx="3960000" cy="3600000"/>
          <a:chOff x="3733114" y="5396643"/>
          <a:chExt cx="3960000" cy="3600000"/>
        </a:xfrm>
      </xdr:grpSpPr>
      <xdr:sp macro="" textlink="">
        <xdr:nvSpPr>
          <xdr:cNvPr id="2266" name="Rectangle: Rounded Corners 2265">
            <a:extLst>
              <a:ext uri="{FF2B5EF4-FFF2-40B4-BE49-F238E27FC236}">
                <a16:creationId xmlns:a16="http://schemas.microsoft.com/office/drawing/2014/main" id="{00000000-0008-0000-0100-0000DA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7" name="Rectangle: Rounded Corners 2266">
            <a:extLst>
              <a:ext uri="{FF2B5EF4-FFF2-40B4-BE49-F238E27FC236}">
                <a16:creationId xmlns:a16="http://schemas.microsoft.com/office/drawing/2014/main" id="{00000000-0008-0000-0100-0000DB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8" name="Rectangle: Rounded Corners 2267">
            <a:extLst>
              <a:ext uri="{FF2B5EF4-FFF2-40B4-BE49-F238E27FC236}">
                <a16:creationId xmlns:a16="http://schemas.microsoft.com/office/drawing/2014/main" id="{00000000-0008-0000-0100-0000DC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14</xdr:col>
      <xdr:colOff>323850</xdr:colOff>
      <xdr:row>35</xdr:row>
      <xdr:rowOff>104774</xdr:rowOff>
    </xdr:from>
    <xdr:to>
      <xdr:col>18</xdr:col>
      <xdr:colOff>533400</xdr:colOff>
      <xdr:row>37</xdr:row>
      <xdr:rowOff>25827</xdr:rowOff>
    </xdr:to>
    <xdr:sp macro="" textlink="">
      <xdr:nvSpPr>
        <xdr:cNvPr id="2247" name="Arrow: Pentagon 2246">
          <a:extLst>
            <a:ext uri="{FF2B5EF4-FFF2-40B4-BE49-F238E27FC236}">
              <a16:creationId xmlns:a16="http://schemas.microsoft.com/office/drawing/2014/main" id="{00000000-0008-0000-0100-0000C7080000}"/>
            </a:ext>
          </a:extLst>
        </xdr:cNvPr>
        <xdr:cNvSpPr/>
      </xdr:nvSpPr>
      <xdr:spPr>
        <a:xfrm>
          <a:off x="8858250" y="5829299"/>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14</xdr:col>
      <xdr:colOff>323850</xdr:colOff>
      <xdr:row>42</xdr:row>
      <xdr:rowOff>190499</xdr:rowOff>
    </xdr:from>
    <xdr:to>
      <xdr:col>18</xdr:col>
      <xdr:colOff>533400</xdr:colOff>
      <xdr:row>44</xdr:row>
      <xdr:rowOff>111552</xdr:rowOff>
    </xdr:to>
    <xdr:sp macro="" textlink="">
      <xdr:nvSpPr>
        <xdr:cNvPr id="2248" name="Arrow: Pentagon 2247">
          <a:extLst>
            <a:ext uri="{FF2B5EF4-FFF2-40B4-BE49-F238E27FC236}">
              <a16:creationId xmlns:a16="http://schemas.microsoft.com/office/drawing/2014/main" id="{00000000-0008-0000-0100-0000C8080000}"/>
            </a:ext>
          </a:extLst>
        </xdr:cNvPr>
        <xdr:cNvSpPr/>
      </xdr:nvSpPr>
      <xdr:spPr>
        <a:xfrm>
          <a:off x="8858250" y="7248524"/>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35</xdr:row>
      <xdr:rowOff>104775</xdr:rowOff>
    </xdr:from>
    <xdr:to>
      <xdr:col>10</xdr:col>
      <xdr:colOff>304800</xdr:colOff>
      <xdr:row>37</xdr:row>
      <xdr:rowOff>25828</xdr:rowOff>
    </xdr:to>
    <xdr:sp macro="" textlink="">
      <xdr:nvSpPr>
        <xdr:cNvPr id="2249" name="Arrow: Pentagon 2248">
          <a:extLst>
            <a:ext uri="{FF2B5EF4-FFF2-40B4-BE49-F238E27FC236}">
              <a16:creationId xmlns:a16="http://schemas.microsoft.com/office/drawing/2014/main" id="{00000000-0008-0000-0100-0000C9080000}"/>
            </a:ext>
          </a:extLst>
        </xdr:cNvPr>
        <xdr:cNvSpPr/>
      </xdr:nvSpPr>
      <xdr:spPr>
        <a:xfrm>
          <a:off x="4533900" y="5829300"/>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43</xdr:row>
      <xdr:rowOff>0</xdr:rowOff>
    </xdr:from>
    <xdr:to>
      <xdr:col>10</xdr:col>
      <xdr:colOff>304800</xdr:colOff>
      <xdr:row>44</xdr:row>
      <xdr:rowOff>111553</xdr:rowOff>
    </xdr:to>
    <xdr:sp macro="" textlink="">
      <xdr:nvSpPr>
        <xdr:cNvPr id="2257" name="Arrow: Pentagon 2256">
          <a:extLst>
            <a:ext uri="{FF2B5EF4-FFF2-40B4-BE49-F238E27FC236}">
              <a16:creationId xmlns:a16="http://schemas.microsoft.com/office/drawing/2014/main" id="{00000000-0008-0000-0100-0000D1080000}"/>
            </a:ext>
          </a:extLst>
        </xdr:cNvPr>
        <xdr:cNvSpPr/>
      </xdr:nvSpPr>
      <xdr:spPr>
        <a:xfrm>
          <a:off x="4533900" y="7248525"/>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439313</xdr:colOff>
      <xdr:row>35</xdr:row>
      <xdr:rowOff>70221</xdr:rowOff>
    </xdr:from>
    <xdr:to>
      <xdr:col>13</xdr:col>
      <xdr:colOff>21713</xdr:colOff>
      <xdr:row>50</xdr:row>
      <xdr:rowOff>35565</xdr:rowOff>
    </xdr:to>
    <xdr:grpSp>
      <xdr:nvGrpSpPr>
        <xdr:cNvPr id="2221" name="Group 2220">
          <a:extLst>
            <a:ext uri="{FF2B5EF4-FFF2-40B4-BE49-F238E27FC236}">
              <a16:creationId xmlns:a16="http://schemas.microsoft.com/office/drawing/2014/main" id="{00000000-0008-0000-0100-0000AD080000}"/>
            </a:ext>
          </a:extLst>
        </xdr:cNvPr>
        <xdr:cNvGrpSpPr/>
      </xdr:nvGrpSpPr>
      <xdr:grpSpPr>
        <a:xfrm>
          <a:off x="4706513" y="5794746"/>
          <a:ext cx="3240000" cy="2822844"/>
          <a:chOff x="4273114" y="5804710"/>
          <a:chExt cx="2880000" cy="2646971"/>
        </a:xfrm>
      </xdr:grpSpPr>
      <xdr:grpSp>
        <xdr:nvGrpSpPr>
          <xdr:cNvPr id="48" name="Group 47">
            <a:extLst>
              <a:ext uri="{FF2B5EF4-FFF2-40B4-BE49-F238E27FC236}">
                <a16:creationId xmlns:a16="http://schemas.microsoft.com/office/drawing/2014/main" id="{00000000-0008-0000-0100-000030000000}"/>
              </a:ext>
            </a:extLst>
          </xdr:cNvPr>
          <xdr:cNvGrpSpPr/>
        </xdr:nvGrpSpPr>
        <xdr:grpSpPr>
          <a:xfrm>
            <a:off x="4273114" y="5804710"/>
            <a:ext cx="2880000" cy="1313471"/>
            <a:chOff x="2505075" y="5813599"/>
            <a:chExt cx="2538300" cy="1015826"/>
          </a:xfrm>
        </xdr:grpSpPr>
        <xdr:grpSp>
          <xdr:nvGrpSpPr>
            <xdr:cNvPr id="42" name="Group 41">
              <a:extLst>
                <a:ext uri="{FF2B5EF4-FFF2-40B4-BE49-F238E27FC236}">
                  <a16:creationId xmlns:a16="http://schemas.microsoft.com/office/drawing/2014/main" id="{00000000-0008-0000-0100-00002A000000}"/>
                </a:ext>
              </a:extLst>
            </xdr:cNvPr>
            <xdr:cNvGrpSpPr/>
          </xdr:nvGrpSpPr>
          <xdr:grpSpPr>
            <a:xfrm>
              <a:off x="2505075" y="5813599"/>
              <a:ext cx="1620000" cy="1015826"/>
              <a:chOff x="3038475" y="7270924"/>
              <a:chExt cx="1620000" cy="1015826"/>
            </a:xfrm>
          </xdr:grpSpPr>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3038475" y="7270924"/>
                <a:ext cx="1066174"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Sale Days</a:t>
                </a:r>
              </a:p>
            </xdr:txBody>
          </xdr:sp>
          <xdr:sp macro="" textlink="Pivot_tables!AV16">
            <xdr:nvSpPr>
              <xdr:cNvPr id="23" name="TextBox 22">
                <a:extLst>
                  <a:ext uri="{FF2B5EF4-FFF2-40B4-BE49-F238E27FC236}">
                    <a16:creationId xmlns:a16="http://schemas.microsoft.com/office/drawing/2014/main" id="{00000000-0008-0000-0100-000017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2D72A2E-8D7B-4A9A-BCFF-5CE1B3B81805}" type="TxLink">
                  <a:rPr lang="en-US" sz="1200" b="0" i="0" u="none" strike="noStrike">
                    <a:solidFill>
                      <a:schemeClr val="bg1"/>
                    </a:solidFill>
                    <a:latin typeface="Avenir Next LT Pro"/>
                  </a:rPr>
                  <a:pPr/>
                  <a:t>February 21, 2015</a:t>
                </a:fld>
                <a:endParaRPr lang="en-CA" sz="1400">
                  <a:solidFill>
                    <a:schemeClr val="bg1"/>
                  </a:solidFill>
                  <a:latin typeface="Avenir Next LT Pro" panose="020B0504020202020204" pitchFamily="34" charset="0"/>
                </a:endParaRPr>
              </a:p>
            </xdr:txBody>
          </xdr:sp>
          <xdr:sp macro="" textlink="Pivot_tables!AV15">
            <xdr:nvSpPr>
              <xdr:cNvPr id="24" name="TextBox 23">
                <a:extLst>
                  <a:ext uri="{FF2B5EF4-FFF2-40B4-BE49-F238E27FC236}">
                    <a16:creationId xmlns:a16="http://schemas.microsoft.com/office/drawing/2014/main" id="{00000000-0008-0000-0100-000018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30F874C-4C58-413D-B31B-7FE8D3AE190B}" type="TxLink">
                  <a:rPr lang="en-US" sz="1200" b="0" i="0" u="none" strike="noStrike">
                    <a:solidFill>
                      <a:schemeClr val="bg1"/>
                    </a:solidFill>
                    <a:latin typeface="Avenir Next LT Pro"/>
                  </a:rPr>
                  <a:pPr/>
                  <a:t>April 4, 2015</a:t>
                </a:fld>
                <a:endParaRPr lang="en-CA" sz="1400">
                  <a:solidFill>
                    <a:schemeClr val="bg1"/>
                  </a:solidFill>
                  <a:latin typeface="Avenir Next LT Pro" panose="020B0504020202020204" pitchFamily="34" charset="0"/>
                </a:endParaRPr>
              </a:p>
            </xdr:txBody>
          </xdr:sp>
          <xdr:sp macro="" textlink="Pivot_tables!AV17">
            <xdr:nvSpPr>
              <xdr:cNvPr id="25" name="TextBox 24">
                <a:extLst>
                  <a:ext uri="{FF2B5EF4-FFF2-40B4-BE49-F238E27FC236}">
                    <a16:creationId xmlns:a16="http://schemas.microsoft.com/office/drawing/2014/main" id="{00000000-0008-0000-0100-000019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53C4800-0C9E-46BE-BE43-D2D33A6C32DB}" type="TxLink">
                  <a:rPr lang="en-US" sz="1200" b="0" i="0" u="none" strike="noStrike">
                    <a:solidFill>
                      <a:schemeClr val="bg1"/>
                    </a:solidFill>
                    <a:latin typeface="Avenir Next LT Pro"/>
                  </a:rPr>
                  <a:pPr/>
                  <a:t>June 20, 2015</a:t>
                </a:fld>
                <a:endParaRPr lang="en-CA" sz="1400">
                  <a:solidFill>
                    <a:schemeClr val="bg1"/>
                  </a:solidFill>
                  <a:latin typeface="Avenir Next LT Pro" panose="020B0504020202020204" pitchFamily="34" charset="0"/>
                </a:endParaRPr>
              </a:p>
            </xdr:txBody>
          </xdr:sp>
        </xdr:grpSp>
        <xdr:grpSp>
          <xdr:nvGrpSpPr>
            <xdr:cNvPr id="43" name="Group 42">
              <a:extLst>
                <a:ext uri="{FF2B5EF4-FFF2-40B4-BE49-F238E27FC236}">
                  <a16:creationId xmlns:a16="http://schemas.microsoft.com/office/drawing/2014/main" id="{00000000-0008-0000-0100-00002B000000}"/>
                </a:ext>
              </a:extLst>
            </xdr:cNvPr>
            <xdr:cNvGrpSpPr/>
          </xdr:nvGrpSpPr>
          <xdr:grpSpPr>
            <a:xfrm>
              <a:off x="4143375" y="6038851"/>
              <a:ext cx="900000" cy="790574"/>
              <a:chOff x="3038475" y="7496176"/>
              <a:chExt cx="1620000" cy="790574"/>
            </a:xfrm>
          </xdr:grpSpPr>
          <xdr:sp macro="" textlink="Pivot_tables!AU16">
            <xdr:nvSpPr>
              <xdr:cNvPr id="45" name="TextBox 44">
                <a:extLst>
                  <a:ext uri="{FF2B5EF4-FFF2-40B4-BE49-F238E27FC236}">
                    <a16:creationId xmlns:a16="http://schemas.microsoft.com/office/drawing/2014/main" id="{00000000-0008-0000-0100-00002D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B6A5B-478D-4DE7-B2D5-F44E79C3DF8D}" type="TxLink">
                  <a:rPr lang="en-US" sz="1200" b="0" i="0" u="none" strike="noStrike">
                    <a:solidFill>
                      <a:schemeClr val="bg1"/>
                    </a:solidFill>
                    <a:latin typeface="Avenir Next LT Pro"/>
                  </a:rPr>
                  <a:pPr algn="r"/>
                  <a:t> 56,765 </a:t>
                </a:fld>
                <a:endParaRPr lang="en-CA" sz="1400">
                  <a:solidFill>
                    <a:schemeClr val="bg1"/>
                  </a:solidFill>
                  <a:latin typeface="Avenir Next LT Pro" panose="020B0504020202020204" pitchFamily="34" charset="0"/>
                </a:endParaRPr>
              </a:p>
            </xdr:txBody>
          </xdr:sp>
          <xdr:sp macro="" textlink="Pivot_tables!AU15">
            <xdr:nvSpPr>
              <xdr:cNvPr id="46" name="TextBox 45">
                <a:extLst>
                  <a:ext uri="{FF2B5EF4-FFF2-40B4-BE49-F238E27FC236}">
                    <a16:creationId xmlns:a16="http://schemas.microsoft.com/office/drawing/2014/main" id="{00000000-0008-0000-0100-00002E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08F922-944A-4E8F-BE5A-168348542E6F}" type="TxLink">
                  <a:rPr lang="en-US" sz="1200" b="0" i="0" u="none" strike="noStrike">
                    <a:solidFill>
                      <a:schemeClr val="bg1"/>
                    </a:solidFill>
                    <a:latin typeface="Avenir Next LT Pro"/>
                  </a:rPr>
                  <a:pPr algn="r"/>
                  <a:t> 67,268 </a:t>
                </a:fld>
                <a:endParaRPr lang="en-CA" sz="1400">
                  <a:solidFill>
                    <a:schemeClr val="bg1"/>
                  </a:solidFill>
                  <a:latin typeface="Avenir Next LT Pro" panose="020B0504020202020204" pitchFamily="34" charset="0"/>
                </a:endParaRPr>
              </a:p>
            </xdr:txBody>
          </xdr:sp>
          <xdr:sp macro="" textlink="Pivot_tables!AU17">
            <xdr:nvSpPr>
              <xdr:cNvPr id="47" name="TextBox 46">
                <a:extLst>
                  <a:ext uri="{FF2B5EF4-FFF2-40B4-BE49-F238E27FC236}">
                    <a16:creationId xmlns:a16="http://schemas.microsoft.com/office/drawing/2014/main" id="{00000000-0008-0000-0100-00002F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79C203-0495-4377-AF68-166E163BE501}" type="TxLink">
                  <a:rPr lang="en-US" sz="1200" b="0" i="0" u="none" strike="noStrike">
                    <a:solidFill>
                      <a:schemeClr val="bg1"/>
                    </a:solidFill>
                    <a:latin typeface="Avenir Next LT Pro"/>
                  </a:rPr>
                  <a:pPr algn="r"/>
                  <a:t> 49,028 </a:t>
                </a:fld>
                <a:endParaRPr lang="en-CA" sz="1400">
                  <a:solidFill>
                    <a:schemeClr val="bg1"/>
                  </a:solidFill>
                  <a:latin typeface="Avenir Next LT Pro" panose="020B0504020202020204" pitchFamily="34" charset="0"/>
                </a:endParaRPr>
              </a:p>
            </xdr:txBody>
          </xdr:sp>
        </xdr:grpSp>
      </xdr:grpSp>
      <xdr:grpSp>
        <xdr:nvGrpSpPr>
          <xdr:cNvPr id="2211" name="Group 2210">
            <a:extLst>
              <a:ext uri="{FF2B5EF4-FFF2-40B4-BE49-F238E27FC236}">
                <a16:creationId xmlns:a16="http://schemas.microsoft.com/office/drawing/2014/main" id="{00000000-0008-0000-0100-0000A3080000}"/>
              </a:ext>
            </a:extLst>
          </xdr:cNvPr>
          <xdr:cNvGrpSpPr/>
        </xdr:nvGrpSpPr>
        <xdr:grpSpPr>
          <a:xfrm>
            <a:off x="4273114" y="7138210"/>
            <a:ext cx="2880000" cy="1313471"/>
            <a:chOff x="2505075" y="5813599"/>
            <a:chExt cx="2538300" cy="1015826"/>
          </a:xfrm>
        </xdr:grpSpPr>
        <xdr:grpSp>
          <xdr:nvGrpSpPr>
            <xdr:cNvPr id="2212" name="Group 2211">
              <a:extLst>
                <a:ext uri="{FF2B5EF4-FFF2-40B4-BE49-F238E27FC236}">
                  <a16:creationId xmlns:a16="http://schemas.microsoft.com/office/drawing/2014/main" id="{00000000-0008-0000-0100-0000A4080000}"/>
                </a:ext>
              </a:extLst>
            </xdr:cNvPr>
            <xdr:cNvGrpSpPr/>
          </xdr:nvGrpSpPr>
          <xdr:grpSpPr>
            <a:xfrm>
              <a:off x="2505075" y="5813599"/>
              <a:ext cx="1620000" cy="1015826"/>
              <a:chOff x="3038475" y="7270924"/>
              <a:chExt cx="1620000" cy="1015826"/>
            </a:xfrm>
          </xdr:grpSpPr>
          <xdr:sp macro="" textlink="">
            <xdr:nvSpPr>
              <xdr:cNvPr id="2217" name="TextBox 2216">
                <a:extLst>
                  <a:ext uri="{FF2B5EF4-FFF2-40B4-BE49-F238E27FC236}">
                    <a16:creationId xmlns:a16="http://schemas.microsoft.com/office/drawing/2014/main" id="{00000000-0008-0000-0100-0000A9080000}"/>
                  </a:ext>
                </a:extLst>
              </xdr:cNvPr>
              <xdr:cNvSpPr txBox="1"/>
            </xdr:nvSpPr>
            <xdr:spPr>
              <a:xfrm>
                <a:off x="3038475" y="7270924"/>
                <a:ext cx="1125871"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Sale Days</a:t>
                </a:r>
              </a:p>
            </xdr:txBody>
          </xdr:sp>
          <xdr:sp macro="" textlink="Pivot_tables!AV21">
            <xdr:nvSpPr>
              <xdr:cNvPr id="2218" name="TextBox 2217">
                <a:extLst>
                  <a:ext uri="{FF2B5EF4-FFF2-40B4-BE49-F238E27FC236}">
                    <a16:creationId xmlns:a16="http://schemas.microsoft.com/office/drawing/2014/main" id="{00000000-0008-0000-0100-0000AA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B00A890-C015-4B9B-A2C3-B8F1F875C2F7}" type="TxLink">
                  <a:rPr lang="en-US" sz="1200" b="0" i="0" u="none" strike="noStrike">
                    <a:solidFill>
                      <a:schemeClr val="bg1"/>
                    </a:solidFill>
                    <a:latin typeface="Avenir Next LT Pro"/>
                  </a:rPr>
                  <a:pPr/>
                  <a:t>March 3, 2015</a:t>
                </a:fld>
                <a:endParaRPr lang="en-CA" sz="1400">
                  <a:solidFill>
                    <a:schemeClr val="bg1"/>
                  </a:solidFill>
                  <a:latin typeface="Avenir Next LT Pro" panose="020B0504020202020204" pitchFamily="34" charset="0"/>
                </a:endParaRPr>
              </a:p>
            </xdr:txBody>
          </xdr:sp>
          <xdr:sp macro="" textlink="Pivot_tables!AV20">
            <xdr:nvSpPr>
              <xdr:cNvPr id="2219" name="TextBox 2218">
                <a:extLst>
                  <a:ext uri="{FF2B5EF4-FFF2-40B4-BE49-F238E27FC236}">
                    <a16:creationId xmlns:a16="http://schemas.microsoft.com/office/drawing/2014/main" id="{00000000-0008-0000-0100-0000AB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799C927-36C0-4FB5-AB35-EC8CA00864E8}" type="TxLink">
                  <a:rPr lang="en-US" sz="1200" b="0" i="0" u="none" strike="noStrike">
                    <a:solidFill>
                      <a:schemeClr val="bg1"/>
                    </a:solidFill>
                    <a:latin typeface="Avenir Next LT Pro"/>
                  </a:rPr>
                  <a:pPr/>
                  <a:t>March 31, 2015</a:t>
                </a:fld>
                <a:endParaRPr lang="en-CA" sz="1400">
                  <a:solidFill>
                    <a:schemeClr val="bg1"/>
                  </a:solidFill>
                  <a:latin typeface="Avenir Next LT Pro" panose="020B0504020202020204" pitchFamily="34" charset="0"/>
                </a:endParaRPr>
              </a:p>
            </xdr:txBody>
          </xdr:sp>
          <xdr:sp macro="" textlink="Pivot_tables!AV22">
            <xdr:nvSpPr>
              <xdr:cNvPr id="2220" name="TextBox 2219">
                <a:extLst>
                  <a:ext uri="{FF2B5EF4-FFF2-40B4-BE49-F238E27FC236}">
                    <a16:creationId xmlns:a16="http://schemas.microsoft.com/office/drawing/2014/main" id="{00000000-0008-0000-0100-0000AC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953B16-2A7E-47C0-BA0B-D783865CA86B}" type="TxLink">
                  <a:rPr lang="en-US" sz="1200" b="0" i="0" u="none" strike="noStrike">
                    <a:solidFill>
                      <a:schemeClr val="bg1"/>
                    </a:solidFill>
                    <a:latin typeface="Avenir Next LT Pro"/>
                  </a:rPr>
                  <a:pPr/>
                  <a:t>June 27, 2015</a:t>
                </a:fld>
                <a:endParaRPr lang="en-CA" sz="1400">
                  <a:solidFill>
                    <a:schemeClr val="bg1"/>
                  </a:solidFill>
                  <a:latin typeface="Avenir Next LT Pro" panose="020B0504020202020204" pitchFamily="34" charset="0"/>
                </a:endParaRPr>
              </a:p>
            </xdr:txBody>
          </xdr:sp>
        </xdr:grpSp>
        <xdr:grpSp>
          <xdr:nvGrpSpPr>
            <xdr:cNvPr id="2213" name="Group 2212">
              <a:extLst>
                <a:ext uri="{FF2B5EF4-FFF2-40B4-BE49-F238E27FC236}">
                  <a16:creationId xmlns:a16="http://schemas.microsoft.com/office/drawing/2014/main" id="{00000000-0008-0000-0100-0000A5080000}"/>
                </a:ext>
              </a:extLst>
            </xdr:cNvPr>
            <xdr:cNvGrpSpPr/>
          </xdr:nvGrpSpPr>
          <xdr:grpSpPr>
            <a:xfrm>
              <a:off x="4143375" y="6038851"/>
              <a:ext cx="900000" cy="790574"/>
              <a:chOff x="3038475" y="7496176"/>
              <a:chExt cx="1620000" cy="790574"/>
            </a:xfrm>
          </xdr:grpSpPr>
          <xdr:sp macro="" textlink="Pivot_tables!AU21">
            <xdr:nvSpPr>
              <xdr:cNvPr id="2214" name="TextBox 2213">
                <a:extLst>
                  <a:ext uri="{FF2B5EF4-FFF2-40B4-BE49-F238E27FC236}">
                    <a16:creationId xmlns:a16="http://schemas.microsoft.com/office/drawing/2014/main" id="{00000000-0008-0000-0100-0000A6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E4E9E1-5F89-4612-89B0-2BF3F12EEAAE}" type="TxLink">
                  <a:rPr lang="en-US" sz="1200" b="0" i="0" u="none" strike="noStrike">
                    <a:solidFill>
                      <a:schemeClr val="bg1"/>
                    </a:solidFill>
                    <a:latin typeface="Avenir Next LT Pro"/>
                  </a:rPr>
                  <a:pPr algn="r"/>
                  <a:t> 263 </a:t>
                </a:fld>
                <a:endParaRPr lang="en-CA" sz="1400">
                  <a:solidFill>
                    <a:schemeClr val="bg1"/>
                  </a:solidFill>
                  <a:latin typeface="Avenir Next LT Pro" panose="020B0504020202020204" pitchFamily="34" charset="0"/>
                </a:endParaRPr>
              </a:p>
            </xdr:txBody>
          </xdr:sp>
          <xdr:sp macro="" textlink="Pivot_tables!AU20">
            <xdr:nvSpPr>
              <xdr:cNvPr id="2215" name="TextBox 2214">
                <a:extLst>
                  <a:ext uri="{FF2B5EF4-FFF2-40B4-BE49-F238E27FC236}">
                    <a16:creationId xmlns:a16="http://schemas.microsoft.com/office/drawing/2014/main" id="{00000000-0008-0000-0100-0000A7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B2BCB-1A9E-49CD-B8C6-065AAB579474}" type="TxLink">
                  <a:rPr lang="en-US" sz="1200" b="0" i="0" u="none" strike="noStrike">
                    <a:solidFill>
                      <a:schemeClr val="bg1"/>
                    </a:solidFill>
                    <a:latin typeface="Avenir Next LT Pro"/>
                  </a:rPr>
                  <a:pPr algn="r"/>
                  <a:t> 102 </a:t>
                </a:fld>
                <a:endParaRPr lang="en-CA" sz="1400">
                  <a:solidFill>
                    <a:schemeClr val="bg1"/>
                  </a:solidFill>
                  <a:latin typeface="Avenir Next LT Pro" panose="020B0504020202020204" pitchFamily="34" charset="0"/>
                </a:endParaRPr>
              </a:p>
            </xdr:txBody>
          </xdr:sp>
          <xdr:sp macro="" textlink="Pivot_tables!AU22">
            <xdr:nvSpPr>
              <xdr:cNvPr id="2216" name="TextBox 2215">
                <a:extLst>
                  <a:ext uri="{FF2B5EF4-FFF2-40B4-BE49-F238E27FC236}">
                    <a16:creationId xmlns:a16="http://schemas.microsoft.com/office/drawing/2014/main" id="{00000000-0008-0000-0100-0000A8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5DA16B-1F80-4A5E-A9DA-80939AA281BC}" type="TxLink">
                  <a:rPr lang="en-US" sz="1200" b="0" i="0" u="none" strike="noStrike">
                    <a:solidFill>
                      <a:schemeClr val="bg1"/>
                    </a:solidFill>
                    <a:latin typeface="Avenir Next LT Pro"/>
                  </a:rPr>
                  <a:pPr algn="r"/>
                  <a:t> 338 </a:t>
                </a:fld>
                <a:endParaRPr lang="en-CA" sz="1400">
                  <a:solidFill>
                    <a:schemeClr val="bg1"/>
                  </a:solidFill>
                  <a:latin typeface="Avenir Next LT Pro" panose="020B0504020202020204" pitchFamily="34" charset="0"/>
                </a:endParaRPr>
              </a:p>
            </xdr:txBody>
          </xdr:sp>
        </xdr:grpSp>
      </xdr:grpSp>
    </xdr:grpSp>
    <xdr:clientData/>
  </xdr:twoCellAnchor>
  <xdr:twoCellAnchor editAs="absolute">
    <xdr:from>
      <xdr:col>14</xdr:col>
      <xdr:colOff>481044</xdr:colOff>
      <xdr:row>35</xdr:row>
      <xdr:rowOff>70221</xdr:rowOff>
    </xdr:from>
    <xdr:to>
      <xdr:col>20</xdr:col>
      <xdr:colOff>63444</xdr:colOff>
      <xdr:row>50</xdr:row>
      <xdr:rowOff>35565</xdr:rowOff>
    </xdr:to>
    <xdr:grpSp>
      <xdr:nvGrpSpPr>
        <xdr:cNvPr id="49" name="Group 48">
          <a:extLst>
            <a:ext uri="{FF2B5EF4-FFF2-40B4-BE49-F238E27FC236}">
              <a16:creationId xmlns:a16="http://schemas.microsoft.com/office/drawing/2014/main" id="{00000000-0008-0000-0100-000031000000}"/>
            </a:ext>
          </a:extLst>
        </xdr:cNvPr>
        <xdr:cNvGrpSpPr/>
      </xdr:nvGrpSpPr>
      <xdr:grpSpPr>
        <a:xfrm>
          <a:off x="9015444" y="5794746"/>
          <a:ext cx="3240000" cy="2822844"/>
          <a:chOff x="4273114" y="5804710"/>
          <a:chExt cx="2880000" cy="2646971"/>
        </a:xfrm>
      </xdr:grpSpPr>
      <xdr:grpSp>
        <xdr:nvGrpSpPr>
          <xdr:cNvPr id="50" name="Group 49">
            <a:extLst>
              <a:ext uri="{FF2B5EF4-FFF2-40B4-BE49-F238E27FC236}">
                <a16:creationId xmlns:a16="http://schemas.microsoft.com/office/drawing/2014/main" id="{00000000-0008-0000-0100-000032000000}"/>
              </a:ext>
            </a:extLst>
          </xdr:cNvPr>
          <xdr:cNvGrpSpPr/>
        </xdr:nvGrpSpPr>
        <xdr:grpSpPr>
          <a:xfrm>
            <a:off x="4273114" y="5804710"/>
            <a:ext cx="2880000" cy="1313471"/>
            <a:chOff x="2505075" y="5813599"/>
            <a:chExt cx="2538300" cy="1015826"/>
          </a:xfrm>
        </xdr:grpSpPr>
        <xdr:grpSp>
          <xdr:nvGrpSpPr>
            <xdr:cNvPr id="61" name="Group 60">
              <a:extLst>
                <a:ext uri="{FF2B5EF4-FFF2-40B4-BE49-F238E27FC236}">
                  <a16:creationId xmlns:a16="http://schemas.microsoft.com/office/drawing/2014/main" id="{00000000-0008-0000-0100-00003D000000}"/>
                </a:ext>
              </a:extLst>
            </xdr:cNvPr>
            <xdr:cNvGrpSpPr/>
          </xdr:nvGrpSpPr>
          <xdr:grpSpPr>
            <a:xfrm>
              <a:off x="2505075" y="5813599"/>
              <a:ext cx="2357112" cy="1015826"/>
              <a:chOff x="3038475" y="7270924"/>
              <a:chExt cx="2357112" cy="1015826"/>
            </a:xfrm>
          </xdr:grpSpPr>
          <xdr:sp macro="" textlink="">
            <xdr:nvSpPr>
              <xdr:cNvPr id="2242" name="TextBox 2241">
                <a:extLst>
                  <a:ext uri="{FF2B5EF4-FFF2-40B4-BE49-F238E27FC236}">
                    <a16:creationId xmlns:a16="http://schemas.microsoft.com/office/drawing/2014/main" id="{00000000-0008-0000-0100-0000C2080000}"/>
                  </a:ext>
                </a:extLst>
              </xdr:cNvPr>
              <xdr:cNvSpPr txBox="1"/>
            </xdr:nvSpPr>
            <xdr:spPr>
              <a:xfrm>
                <a:off x="3038475" y="7270924"/>
                <a:ext cx="2357112"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Performing Products</a:t>
                </a:r>
              </a:p>
            </xdr:txBody>
          </xdr:sp>
          <xdr:sp macro="" textlink="Pivot_tables!AX16">
            <xdr:nvSpPr>
              <xdr:cNvPr id="2243" name="TextBox 2242">
                <a:extLst>
                  <a:ext uri="{FF2B5EF4-FFF2-40B4-BE49-F238E27FC236}">
                    <a16:creationId xmlns:a16="http://schemas.microsoft.com/office/drawing/2014/main" id="{00000000-0008-0000-0100-0000C3080000}"/>
                  </a:ext>
                </a:extLst>
              </xdr:cNvPr>
              <xdr:cNvSpPr txBox="1"/>
            </xdr:nvSpPr>
            <xdr:spPr>
              <a:xfrm>
                <a:off x="3038475" y="7762876"/>
                <a:ext cx="192893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66C2540-5EB6-4021-ABE5-F912556BDF90}" type="TxLink">
                  <a:rPr lang="en-US" sz="1200" b="0" i="0" u="none" strike="noStrike">
                    <a:solidFill>
                      <a:schemeClr val="bg1"/>
                    </a:solidFill>
                    <a:latin typeface="Avenir Next LT Pro"/>
                  </a:rPr>
                  <a:pPr/>
                  <a:t>Chairs &amp; Chairmats</a:t>
                </a:fld>
                <a:endParaRPr lang="en-CA" sz="1400">
                  <a:solidFill>
                    <a:schemeClr val="bg1"/>
                  </a:solidFill>
                  <a:latin typeface="Avenir Next LT Pro" panose="020B0504020202020204" pitchFamily="34" charset="0"/>
                </a:endParaRPr>
              </a:p>
            </xdr:txBody>
          </xdr:sp>
          <xdr:sp macro="" textlink="Pivot_tables!AX15">
            <xdr:nvSpPr>
              <xdr:cNvPr id="2244" name="TextBox 2243">
                <a:extLst>
                  <a:ext uri="{FF2B5EF4-FFF2-40B4-BE49-F238E27FC236}">
                    <a16:creationId xmlns:a16="http://schemas.microsoft.com/office/drawing/2014/main" id="{00000000-0008-0000-0100-0000C4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4E956EE-A4A9-4A85-90FD-AEAE4C859EA3}" type="TxLink">
                  <a:rPr lang="en-US" sz="1200" b="0" i="0" u="none" strike="noStrike">
                    <a:solidFill>
                      <a:schemeClr val="bg1"/>
                    </a:solidFill>
                    <a:latin typeface="Avenir Next LT Pro"/>
                  </a:rPr>
                  <a:pPr/>
                  <a:t>Office Machines</a:t>
                </a:fld>
                <a:endParaRPr lang="en-CA" sz="1400">
                  <a:solidFill>
                    <a:schemeClr val="bg1"/>
                  </a:solidFill>
                  <a:latin typeface="Avenir Next LT Pro" panose="020B0504020202020204" pitchFamily="34" charset="0"/>
                </a:endParaRPr>
              </a:p>
            </xdr:txBody>
          </xdr:sp>
          <xdr:sp macro="" textlink="Pivot_tables!AX17">
            <xdr:nvSpPr>
              <xdr:cNvPr id="2246" name="TextBox 2245">
                <a:extLst>
                  <a:ext uri="{FF2B5EF4-FFF2-40B4-BE49-F238E27FC236}">
                    <a16:creationId xmlns:a16="http://schemas.microsoft.com/office/drawing/2014/main" id="{00000000-0008-0000-0100-0000C6080000}"/>
                  </a:ext>
                </a:extLst>
              </xdr:cNvPr>
              <xdr:cNvSpPr txBox="1"/>
            </xdr:nvSpPr>
            <xdr:spPr>
              <a:xfrm>
                <a:off x="3038475" y="8029576"/>
                <a:ext cx="1973709"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15C2C18-CC6E-43C4-AFA5-D060E8EED1A6}" type="TxLink">
                  <a:rPr lang="en-US" sz="1200" b="0" i="0" u="none" strike="noStrike">
                    <a:solidFill>
                      <a:schemeClr val="bg1"/>
                    </a:solidFill>
                    <a:latin typeface="Avenir Next LT Pro"/>
                  </a:rPr>
                  <a:pPr/>
                  <a:t>Telephones and Communication</a:t>
                </a:fld>
                <a:endParaRPr lang="en-CA" sz="1400">
                  <a:solidFill>
                    <a:schemeClr val="bg1"/>
                  </a:solidFill>
                  <a:latin typeface="Avenir Next LT Pro" panose="020B0504020202020204" pitchFamily="34" charset="0"/>
                </a:endParaRPr>
              </a:p>
            </xdr:txBody>
          </xdr:sp>
        </xdr:grpSp>
        <xdr:grpSp>
          <xdr:nvGrpSpPr>
            <xdr:cNvPr id="62" name="Group 61">
              <a:extLst>
                <a:ext uri="{FF2B5EF4-FFF2-40B4-BE49-F238E27FC236}">
                  <a16:creationId xmlns:a16="http://schemas.microsoft.com/office/drawing/2014/main" id="{00000000-0008-0000-0100-00003E000000}"/>
                </a:ext>
              </a:extLst>
            </xdr:cNvPr>
            <xdr:cNvGrpSpPr/>
          </xdr:nvGrpSpPr>
          <xdr:grpSpPr>
            <a:xfrm>
              <a:off x="4143375" y="6038851"/>
              <a:ext cx="900000" cy="790574"/>
              <a:chOff x="3038475" y="7496176"/>
              <a:chExt cx="1620000" cy="790574"/>
            </a:xfrm>
          </xdr:grpSpPr>
          <xdr:sp macro="" textlink="Pivot_tables!AW16">
            <xdr:nvSpPr>
              <xdr:cNvPr id="63" name="TextBox 62">
                <a:extLst>
                  <a:ext uri="{FF2B5EF4-FFF2-40B4-BE49-F238E27FC236}">
                    <a16:creationId xmlns:a16="http://schemas.microsoft.com/office/drawing/2014/main" id="{00000000-0008-0000-0100-00003F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6C3E88-1DFD-46EE-8190-93CBBFAE769D}" type="TxLink">
                  <a:rPr lang="en-US" sz="1200" b="0" i="0" u="none" strike="noStrike">
                    <a:solidFill>
                      <a:schemeClr val="bg1"/>
                    </a:solidFill>
                    <a:latin typeface="Avenir Next LT Pro"/>
                  </a:rPr>
                  <a:pPr algn="r"/>
                  <a:t> 241,200 </a:t>
                </a:fld>
                <a:endParaRPr lang="en-CA" sz="1600">
                  <a:solidFill>
                    <a:schemeClr val="bg1"/>
                  </a:solidFill>
                  <a:latin typeface="Avenir Next LT Pro" panose="020B0504020202020204" pitchFamily="34" charset="0"/>
                </a:endParaRPr>
              </a:p>
            </xdr:txBody>
          </xdr:sp>
          <xdr:sp macro="" textlink="Pivot_tables!AW15">
            <xdr:nvSpPr>
              <xdr:cNvPr id="2240" name="TextBox 2239">
                <a:extLst>
                  <a:ext uri="{FF2B5EF4-FFF2-40B4-BE49-F238E27FC236}">
                    <a16:creationId xmlns:a16="http://schemas.microsoft.com/office/drawing/2014/main" id="{00000000-0008-0000-0100-0000C0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0929295-2125-40B0-9508-B53B4F3EA2BF}" type="TxLink">
                  <a:rPr lang="en-US" sz="1200" b="0" i="0" u="none" strike="noStrike">
                    <a:solidFill>
                      <a:schemeClr val="bg1"/>
                    </a:solidFill>
                    <a:latin typeface="Avenir Next LT Pro"/>
                  </a:rPr>
                  <a:pPr algn="r"/>
                  <a:t> 318,170 </a:t>
                </a:fld>
                <a:endParaRPr lang="en-CA" sz="1600">
                  <a:solidFill>
                    <a:schemeClr val="bg1"/>
                  </a:solidFill>
                  <a:latin typeface="Avenir Next LT Pro" panose="020B0504020202020204" pitchFamily="34" charset="0"/>
                </a:endParaRPr>
              </a:p>
            </xdr:txBody>
          </xdr:sp>
          <xdr:sp macro="" textlink="Pivot_tables!AW17">
            <xdr:nvSpPr>
              <xdr:cNvPr id="2241" name="TextBox 2240">
                <a:extLst>
                  <a:ext uri="{FF2B5EF4-FFF2-40B4-BE49-F238E27FC236}">
                    <a16:creationId xmlns:a16="http://schemas.microsoft.com/office/drawing/2014/main" id="{00000000-0008-0000-0100-0000C1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4B0428-2D74-4D15-AE19-4B3A2D7EFD34}" type="TxLink">
                  <a:rPr lang="en-US" sz="1200" b="0" i="0" u="none" strike="noStrike">
                    <a:solidFill>
                      <a:schemeClr val="bg1"/>
                    </a:solidFill>
                    <a:latin typeface="Avenir Next LT Pro"/>
                  </a:rPr>
                  <a:pPr algn="r"/>
                  <a:t> 198,764 </a:t>
                </a:fld>
                <a:endParaRPr lang="en-CA" sz="1600">
                  <a:solidFill>
                    <a:schemeClr val="bg1"/>
                  </a:solidFill>
                  <a:latin typeface="Avenir Next LT Pro" panose="020B0504020202020204" pitchFamily="34" charset="0"/>
                </a:endParaRPr>
              </a:p>
            </xdr:txBody>
          </xdr:sp>
        </xdr:grpSp>
      </xdr:grpSp>
      <xdr:grpSp>
        <xdr:nvGrpSpPr>
          <xdr:cNvPr id="51" name="Group 50">
            <a:extLst>
              <a:ext uri="{FF2B5EF4-FFF2-40B4-BE49-F238E27FC236}">
                <a16:creationId xmlns:a16="http://schemas.microsoft.com/office/drawing/2014/main" id="{00000000-0008-0000-0100-000033000000}"/>
              </a:ext>
            </a:extLst>
          </xdr:cNvPr>
          <xdr:cNvGrpSpPr/>
        </xdr:nvGrpSpPr>
        <xdr:grpSpPr>
          <a:xfrm>
            <a:off x="4273114" y="7138210"/>
            <a:ext cx="2880000" cy="1313471"/>
            <a:chOff x="2505075" y="5813599"/>
            <a:chExt cx="2538300" cy="1015826"/>
          </a:xfrm>
        </xdr:grpSpPr>
        <xdr:grpSp>
          <xdr:nvGrpSpPr>
            <xdr:cNvPr id="52" name="Group 51">
              <a:extLst>
                <a:ext uri="{FF2B5EF4-FFF2-40B4-BE49-F238E27FC236}">
                  <a16:creationId xmlns:a16="http://schemas.microsoft.com/office/drawing/2014/main" id="{00000000-0008-0000-0100-000034000000}"/>
                </a:ext>
              </a:extLst>
            </xdr:cNvPr>
            <xdr:cNvGrpSpPr/>
          </xdr:nvGrpSpPr>
          <xdr:grpSpPr>
            <a:xfrm>
              <a:off x="2505075" y="5813599"/>
              <a:ext cx="2309706" cy="1015826"/>
              <a:chOff x="3038475" y="7270924"/>
              <a:chExt cx="2309706" cy="1015826"/>
            </a:xfrm>
          </xdr:grpSpPr>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3038475" y="7270924"/>
                <a:ext cx="230970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Performing Products</a:t>
                </a:r>
              </a:p>
            </xdr:txBody>
          </xdr:sp>
          <xdr:sp macro="" textlink="Pivot_tables!AX21">
            <xdr:nvSpPr>
              <xdr:cNvPr id="58" name="TextBox 57">
                <a:extLst>
                  <a:ext uri="{FF2B5EF4-FFF2-40B4-BE49-F238E27FC236}">
                    <a16:creationId xmlns:a16="http://schemas.microsoft.com/office/drawing/2014/main" id="{00000000-0008-0000-0100-00003A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2D30DFF-0C53-44ED-A810-A0A70AF5EEC0}" type="TxLink">
                  <a:rPr lang="en-US" sz="1200" b="0" i="0" u="none" strike="noStrike">
                    <a:solidFill>
                      <a:schemeClr val="bg1"/>
                    </a:solidFill>
                    <a:latin typeface="Avenir Next LT Pro"/>
                  </a:rPr>
                  <a:pPr/>
                  <a:t>Labels</a:t>
                </a:fld>
                <a:endParaRPr lang="en-CA" sz="1400">
                  <a:solidFill>
                    <a:schemeClr val="bg1"/>
                  </a:solidFill>
                  <a:latin typeface="Avenir Next LT Pro" panose="020B0504020202020204" pitchFamily="34" charset="0"/>
                </a:endParaRPr>
              </a:p>
            </xdr:txBody>
          </xdr:sp>
          <xdr:sp macro="" textlink="Pivot_tables!AX20">
            <xdr:nvSpPr>
              <xdr:cNvPr id="59" name="TextBox 58">
                <a:extLst>
                  <a:ext uri="{FF2B5EF4-FFF2-40B4-BE49-F238E27FC236}">
                    <a16:creationId xmlns:a16="http://schemas.microsoft.com/office/drawing/2014/main" id="{00000000-0008-0000-0100-00003B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405F9CF-25A4-45AA-BAA7-70013A265618}" type="TxLink">
                  <a:rPr lang="en-US" sz="1200" b="0" i="0" u="none" strike="noStrike">
                    <a:solidFill>
                      <a:schemeClr val="bg1"/>
                    </a:solidFill>
                    <a:latin typeface="Avenir Next LT Pro"/>
                  </a:rPr>
                  <a:pPr/>
                  <a:t>Rubber Bands</a:t>
                </a:fld>
                <a:endParaRPr lang="en-CA" sz="1400">
                  <a:solidFill>
                    <a:schemeClr val="bg1"/>
                  </a:solidFill>
                  <a:latin typeface="Avenir Next LT Pro" panose="020B0504020202020204" pitchFamily="34" charset="0"/>
                </a:endParaRPr>
              </a:p>
            </xdr:txBody>
          </xdr:sp>
          <xdr:sp macro="" textlink="Pivot_tables!AX22">
            <xdr:nvSpPr>
              <xdr:cNvPr id="60" name="TextBox 59">
                <a:extLst>
                  <a:ext uri="{FF2B5EF4-FFF2-40B4-BE49-F238E27FC236}">
                    <a16:creationId xmlns:a16="http://schemas.microsoft.com/office/drawing/2014/main" id="{00000000-0008-0000-0100-00003C000000}"/>
                  </a:ext>
                </a:extLst>
              </xdr:cNvPr>
              <xdr:cNvSpPr txBox="1"/>
            </xdr:nvSpPr>
            <xdr:spPr>
              <a:xfrm>
                <a:off x="3038475" y="8029576"/>
                <a:ext cx="19214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B13961E-2D77-4D9D-85D0-D1E4477FDCED}" type="TxLink">
                  <a:rPr lang="en-US" sz="1200" b="0" i="0" u="none" strike="noStrike">
                    <a:solidFill>
                      <a:schemeClr val="bg1"/>
                    </a:solidFill>
                    <a:latin typeface="Avenir Next LT Pro"/>
                  </a:rPr>
                  <a:pPr/>
                  <a:t>Scissors, Rulers and Trimmers</a:t>
                </a:fld>
                <a:endParaRPr lang="en-CA" sz="1400">
                  <a:solidFill>
                    <a:schemeClr val="bg1"/>
                  </a:solidFill>
                  <a:latin typeface="Avenir Next LT Pro" panose="020B0504020202020204" pitchFamily="34" charset="0"/>
                </a:endParaRPr>
              </a:p>
            </xdr:txBody>
          </xdr:sp>
        </xdr:grpSp>
        <xdr:grpSp>
          <xdr:nvGrpSpPr>
            <xdr:cNvPr id="53" name="Group 52">
              <a:extLst>
                <a:ext uri="{FF2B5EF4-FFF2-40B4-BE49-F238E27FC236}">
                  <a16:creationId xmlns:a16="http://schemas.microsoft.com/office/drawing/2014/main" id="{00000000-0008-0000-0100-000035000000}"/>
                </a:ext>
              </a:extLst>
            </xdr:cNvPr>
            <xdr:cNvGrpSpPr/>
          </xdr:nvGrpSpPr>
          <xdr:grpSpPr>
            <a:xfrm>
              <a:off x="4143375" y="6038851"/>
              <a:ext cx="900000" cy="790574"/>
              <a:chOff x="3038475" y="7496176"/>
              <a:chExt cx="1620000" cy="790574"/>
            </a:xfrm>
          </xdr:grpSpPr>
          <xdr:sp macro="" textlink="Pivot_tables!AW21">
            <xdr:nvSpPr>
              <xdr:cNvPr id="54" name="TextBox 53">
                <a:extLst>
                  <a:ext uri="{FF2B5EF4-FFF2-40B4-BE49-F238E27FC236}">
                    <a16:creationId xmlns:a16="http://schemas.microsoft.com/office/drawing/2014/main" id="{00000000-0008-0000-0100-000036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E1AD60-A701-47A4-A62D-78BB7CADD5BD}" type="TxLink">
                  <a:rPr lang="en-US" sz="1200" b="0" i="0" u="none" strike="noStrike">
                    <a:solidFill>
                      <a:schemeClr val="bg1"/>
                    </a:solidFill>
                    <a:latin typeface="Avenir Next LT Pro"/>
                  </a:rPr>
                  <a:pPr algn="r"/>
                  <a:t> 4,915 </a:t>
                </a:fld>
                <a:endParaRPr lang="en-CA" sz="1600">
                  <a:solidFill>
                    <a:schemeClr val="bg1"/>
                  </a:solidFill>
                  <a:latin typeface="Avenir Next LT Pro" panose="020B0504020202020204" pitchFamily="34" charset="0"/>
                </a:endParaRPr>
              </a:p>
            </xdr:txBody>
          </xdr:sp>
          <xdr:sp macro="" textlink="Pivot_tables!AW20">
            <xdr:nvSpPr>
              <xdr:cNvPr id="55" name="TextBox 54">
                <a:extLst>
                  <a:ext uri="{FF2B5EF4-FFF2-40B4-BE49-F238E27FC236}">
                    <a16:creationId xmlns:a16="http://schemas.microsoft.com/office/drawing/2014/main" id="{00000000-0008-0000-0100-000037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11899B-A892-4F07-910E-EAA5BA73B9CA}" type="TxLink">
                  <a:rPr lang="en-US" sz="1200" b="0" i="0" u="none" strike="noStrike">
                    <a:solidFill>
                      <a:schemeClr val="bg1"/>
                    </a:solidFill>
                    <a:latin typeface="Avenir Next LT Pro"/>
                  </a:rPr>
                  <a:pPr algn="r"/>
                  <a:t> 1,789 </a:t>
                </a:fld>
                <a:endParaRPr lang="en-CA" sz="1600">
                  <a:solidFill>
                    <a:schemeClr val="bg1"/>
                  </a:solidFill>
                  <a:latin typeface="Avenir Next LT Pro" panose="020B0504020202020204" pitchFamily="34" charset="0"/>
                </a:endParaRPr>
              </a:p>
            </xdr:txBody>
          </xdr:sp>
          <xdr:sp macro="" textlink="Pivot_tables!AW22">
            <xdr:nvSpPr>
              <xdr:cNvPr id="56" name="TextBox 55">
                <a:extLst>
                  <a:ext uri="{FF2B5EF4-FFF2-40B4-BE49-F238E27FC236}">
                    <a16:creationId xmlns:a16="http://schemas.microsoft.com/office/drawing/2014/main" id="{00000000-0008-0000-0100-000038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D9877-8131-4A6B-850D-82A08022CADF}" type="TxLink">
                  <a:rPr lang="en-US" sz="1200" b="0" i="0" u="none" strike="noStrike">
                    <a:solidFill>
                      <a:schemeClr val="bg1"/>
                    </a:solidFill>
                    <a:latin typeface="Avenir Next LT Pro"/>
                  </a:rPr>
                  <a:pPr algn="r"/>
                  <a:t> 6,752 </a:t>
                </a:fld>
                <a:endParaRPr lang="en-CA" sz="1600">
                  <a:solidFill>
                    <a:schemeClr val="bg1"/>
                  </a:solidFill>
                  <a:latin typeface="Avenir Next LT Pro" panose="020B0504020202020204" pitchFamily="34" charset="0"/>
                </a:endParaRPr>
              </a:p>
            </xdr:txBody>
          </xdr:sp>
        </xdr:grpSp>
      </xdr:grpSp>
    </xdr:grpSp>
    <xdr:clientData/>
  </xdr:twoCellAnchor>
  <xdr:twoCellAnchor editAs="absolute">
    <xdr:from>
      <xdr:col>21</xdr:col>
      <xdr:colOff>394939</xdr:colOff>
      <xdr:row>37</xdr:row>
      <xdr:rowOff>114300</xdr:rowOff>
    </xdr:from>
    <xdr:to>
      <xdr:col>27</xdr:col>
      <xdr:colOff>233015</xdr:colOff>
      <xdr:row>50</xdr:row>
      <xdr:rowOff>171450</xdr:rowOff>
    </xdr:to>
    <xdr:graphicFrame macro="">
      <xdr:nvGraphicFramePr>
        <xdr:cNvPr id="2282" name="Chart 2281">
          <a:extLst>
            <a:ext uri="{FF2B5EF4-FFF2-40B4-BE49-F238E27FC236}">
              <a16:creationId xmlns:a16="http://schemas.microsoft.com/office/drawing/2014/main" id="{00000000-0008-0000-0100-0000E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333375</xdr:colOff>
      <xdr:row>3</xdr:row>
      <xdr:rowOff>38100</xdr:rowOff>
    </xdr:from>
    <xdr:to>
      <xdr:col>19</xdr:col>
      <xdr:colOff>9525</xdr:colOff>
      <xdr:row>6</xdr:row>
      <xdr:rowOff>95250</xdr:rowOff>
    </xdr:to>
    <xdr:grpSp>
      <xdr:nvGrpSpPr>
        <xdr:cNvPr id="2271" name="Group 2270">
          <a:extLst>
            <a:ext uri="{FF2B5EF4-FFF2-40B4-BE49-F238E27FC236}">
              <a16:creationId xmlns:a16="http://schemas.microsoft.com/office/drawing/2014/main" id="{00000000-0008-0000-0100-0000DF080000}"/>
            </a:ext>
          </a:extLst>
        </xdr:cNvPr>
        <xdr:cNvGrpSpPr/>
      </xdr:nvGrpSpPr>
      <xdr:grpSpPr>
        <a:xfrm>
          <a:off x="6429375" y="523875"/>
          <a:ext cx="5162550" cy="542925"/>
          <a:chOff x="6429375" y="523875"/>
          <a:chExt cx="5162550" cy="542925"/>
        </a:xfrm>
      </xdr:grpSpPr>
      <xdr:grpSp>
        <xdr:nvGrpSpPr>
          <xdr:cNvPr id="2270" name="Group 2269">
            <a:extLst>
              <a:ext uri="{FF2B5EF4-FFF2-40B4-BE49-F238E27FC236}">
                <a16:creationId xmlns:a16="http://schemas.microsoft.com/office/drawing/2014/main" id="{00000000-0008-0000-0100-0000DE080000}"/>
              </a:ext>
            </a:extLst>
          </xdr:cNvPr>
          <xdr:cNvGrpSpPr/>
        </xdr:nvGrpSpPr>
        <xdr:grpSpPr>
          <a:xfrm>
            <a:off x="6561381" y="671719"/>
            <a:ext cx="4792419" cy="261525"/>
            <a:chOff x="6561381" y="671719"/>
            <a:chExt cx="4792419" cy="261525"/>
          </a:xfrm>
        </xdr:grpSpPr>
        <xdr:grpSp>
          <xdr:nvGrpSpPr>
            <xdr:cNvPr id="2259" name="Group 2258">
              <a:extLst>
                <a:ext uri="{FF2B5EF4-FFF2-40B4-BE49-F238E27FC236}">
                  <a16:creationId xmlns:a16="http://schemas.microsoft.com/office/drawing/2014/main" id="{00000000-0008-0000-0100-0000D3080000}"/>
                </a:ext>
              </a:extLst>
            </xdr:cNvPr>
            <xdr:cNvGrpSpPr/>
          </xdr:nvGrpSpPr>
          <xdr:grpSpPr>
            <a:xfrm>
              <a:off x="6561381" y="671719"/>
              <a:ext cx="4792419" cy="259350"/>
              <a:chOff x="6561381" y="671719"/>
              <a:chExt cx="4792419" cy="259350"/>
            </a:xfrm>
          </xdr:grpSpPr>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6561381" y="671719"/>
                <a:ext cx="152534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Sales Trend</a:t>
                </a:r>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8035029" y="673894"/>
                <a:ext cx="15090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Profit Trend</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542706" y="671719"/>
                <a:ext cx="181109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Quantity Trend</a:t>
                </a:r>
              </a:p>
            </xdr:txBody>
          </xdr:sp>
        </xdr:grpSp>
        <mc:AlternateContent xmlns:mc="http://schemas.openxmlformats.org/markup-compatibility/2006">
          <mc:Choice xmlns:a14="http://schemas.microsoft.com/office/drawing/2010/main" Requires="a14">
            <xdr:grpSp>
              <xdr:nvGrpSpPr>
                <xdr:cNvPr id="2260" name="Group 2259">
                  <a:extLst>
                    <a:ext uri="{FF2B5EF4-FFF2-40B4-BE49-F238E27FC236}">
                      <a16:creationId xmlns:a16="http://schemas.microsoft.com/office/drawing/2014/main" id="{00000000-0008-0000-0100-0000D4080000}"/>
                    </a:ext>
                  </a:extLst>
                </xdr:cNvPr>
                <xdr:cNvGrpSpPr/>
              </xdr:nvGrpSpPr>
              <xdr:grpSpPr>
                <a:xfrm>
                  <a:off x="6657705" y="678655"/>
                  <a:ext cx="4486545" cy="254589"/>
                  <a:chOff x="6657705" y="678655"/>
                  <a:chExt cx="4486545" cy="254589"/>
                </a:xfrm>
              </xdr:grpSpPr>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6657705" y="681243"/>
                    <a:ext cx="1190895"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112303" y="678655"/>
                    <a:ext cx="1222198"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9629506" y="681244"/>
                    <a:ext cx="1514744"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mc:AlternateContent xmlns:mc="http://schemas.openxmlformats.org/markup-compatibility/2006">
        <mc:Choice xmlns:a14="http://schemas.microsoft.com/office/drawing/2010/main" Requires="a14">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6429375" y="523875"/>
                <a:ext cx="5162550" cy="5429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clientData/>
  </xdr:twoCellAnchor>
  <xdr:twoCellAnchor>
    <xdr:from>
      <xdr:col>21</xdr:col>
      <xdr:colOff>445350</xdr:colOff>
      <xdr:row>34</xdr:row>
      <xdr:rowOff>104775</xdr:rowOff>
    </xdr:from>
    <xdr:to>
      <xdr:col>27</xdr:col>
      <xdr:colOff>197700</xdr:colOff>
      <xdr:row>37</xdr:row>
      <xdr:rowOff>123825</xdr:rowOff>
    </xdr:to>
    <xdr:grpSp>
      <xdr:nvGrpSpPr>
        <xdr:cNvPr id="2274" name="Group 2273">
          <a:extLst>
            <a:ext uri="{FF2B5EF4-FFF2-40B4-BE49-F238E27FC236}">
              <a16:creationId xmlns:a16="http://schemas.microsoft.com/office/drawing/2014/main" id="{00000000-0008-0000-0100-0000E2080000}"/>
            </a:ext>
          </a:extLst>
        </xdr:cNvPr>
        <xdr:cNvGrpSpPr/>
      </xdr:nvGrpSpPr>
      <xdr:grpSpPr>
        <a:xfrm>
          <a:off x="13246950" y="5638800"/>
          <a:ext cx="3409950" cy="590550"/>
          <a:chOff x="13246950" y="5638800"/>
          <a:chExt cx="3409950" cy="590550"/>
        </a:xfrm>
      </xdr:grpSpPr>
      <mc:AlternateContent xmlns:mc="http://schemas.openxmlformats.org/markup-compatibility/2006">
        <mc:Choice xmlns:a14="http://schemas.microsoft.com/office/drawing/2010/main" Requires="a14">
          <xdr:sp macro="" textlink="">
            <xdr:nvSpPr>
              <xdr:cNvPr id="2058" name="Group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3246950" y="5638800"/>
                <a:ext cx="3409950" cy="5905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10</a:t>
                </a:r>
              </a:p>
            </xdr:txBody>
          </xdr:sp>
        </mc:Choice>
        <mc:Fallback/>
      </mc:AlternateContent>
      <xdr:grpSp>
        <xdr:nvGrpSpPr>
          <xdr:cNvPr id="2273" name="Group 2272">
            <a:extLst>
              <a:ext uri="{FF2B5EF4-FFF2-40B4-BE49-F238E27FC236}">
                <a16:creationId xmlns:a16="http://schemas.microsoft.com/office/drawing/2014/main" id="{00000000-0008-0000-0100-0000E1080000}"/>
              </a:ext>
            </a:extLst>
          </xdr:cNvPr>
          <xdr:cNvGrpSpPr/>
        </xdr:nvGrpSpPr>
        <xdr:grpSpPr>
          <a:xfrm>
            <a:off x="13472765" y="5753100"/>
            <a:ext cx="3072160" cy="354623"/>
            <a:chOff x="13472765" y="5753100"/>
            <a:chExt cx="3072160" cy="354623"/>
          </a:xfrm>
        </xdr:grpSpPr>
        <xdr:grpSp>
          <xdr:nvGrpSpPr>
            <xdr:cNvPr id="2279" name="Group 2278">
              <a:extLst>
                <a:ext uri="{FF2B5EF4-FFF2-40B4-BE49-F238E27FC236}">
                  <a16:creationId xmlns:a16="http://schemas.microsoft.com/office/drawing/2014/main" id="{00000000-0008-0000-0100-0000E7080000}"/>
                </a:ext>
              </a:extLst>
            </xdr:cNvPr>
            <xdr:cNvGrpSpPr/>
          </xdr:nvGrpSpPr>
          <xdr:grpSpPr>
            <a:xfrm>
              <a:off x="13634690" y="5753100"/>
              <a:ext cx="2910235" cy="354623"/>
              <a:chOff x="13696950" y="5791200"/>
              <a:chExt cx="2910235" cy="354623"/>
            </a:xfrm>
          </xdr:grpSpPr>
          <xdr:sp macro="" textlink="">
            <xdr:nvSpPr>
              <xdr:cNvPr id="2276" name="TextBox 2275">
                <a:extLst>
                  <a:ext uri="{FF2B5EF4-FFF2-40B4-BE49-F238E27FC236}">
                    <a16:creationId xmlns:a16="http://schemas.microsoft.com/office/drawing/2014/main" id="{00000000-0008-0000-0100-0000E4080000}"/>
                  </a:ext>
                </a:extLst>
              </xdr:cNvPr>
              <xdr:cNvSpPr txBox="1"/>
            </xdr:nvSpPr>
            <xdr:spPr>
              <a:xfrm>
                <a:off x="13696950" y="5791200"/>
                <a:ext cx="690910"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Profit</a:t>
                </a:r>
              </a:p>
            </xdr:txBody>
          </xdr:sp>
          <xdr:sp macro="" textlink="">
            <xdr:nvSpPr>
              <xdr:cNvPr id="2277" name="TextBox 2276">
                <a:extLst>
                  <a:ext uri="{FF2B5EF4-FFF2-40B4-BE49-F238E27FC236}">
                    <a16:creationId xmlns:a16="http://schemas.microsoft.com/office/drawing/2014/main" id="{00000000-0008-0000-0100-0000E5080000}"/>
                  </a:ext>
                </a:extLst>
              </xdr:cNvPr>
              <xdr:cNvSpPr txBox="1"/>
            </xdr:nvSpPr>
            <xdr:spPr>
              <a:xfrm>
                <a:off x="14692313" y="5791200"/>
                <a:ext cx="886172"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Quantity</a:t>
                </a:r>
                <a:endParaRPr lang="en-CA" sz="1100">
                  <a:solidFill>
                    <a:srgbClr val="D43260"/>
                  </a:solidFill>
                  <a:latin typeface="Avenir Next LT Pro" panose="020B0504020202020204" pitchFamily="34" charset="0"/>
                </a:endParaRPr>
              </a:p>
            </xdr:txBody>
          </xdr:sp>
          <xdr:sp macro="" textlink="">
            <xdr:nvSpPr>
              <xdr:cNvPr id="2278" name="TextBox 2277">
                <a:extLst>
                  <a:ext uri="{FF2B5EF4-FFF2-40B4-BE49-F238E27FC236}">
                    <a16:creationId xmlns:a16="http://schemas.microsoft.com/office/drawing/2014/main" id="{00000000-0008-0000-0100-0000E6080000}"/>
                  </a:ext>
                </a:extLst>
              </xdr:cNvPr>
              <xdr:cNvSpPr txBox="1"/>
            </xdr:nvSpPr>
            <xdr:spPr>
              <a:xfrm>
                <a:off x="15716251" y="5791200"/>
                <a:ext cx="890934"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Sale</a:t>
                </a:r>
                <a:endParaRPr lang="en-CA" sz="1100">
                  <a:solidFill>
                    <a:srgbClr val="D43260"/>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2272" name="Group 2271">
                  <a:extLst>
                    <a:ext uri="{FF2B5EF4-FFF2-40B4-BE49-F238E27FC236}">
                      <a16:creationId xmlns:a16="http://schemas.microsoft.com/office/drawing/2014/main" id="{00000000-0008-0000-0100-0000E0080000}"/>
                    </a:ext>
                  </a:extLst>
                </xdr:cNvPr>
                <xdr:cNvGrpSpPr/>
              </xdr:nvGrpSpPr>
              <xdr:grpSpPr>
                <a:xfrm>
                  <a:off x="13472765" y="5800725"/>
                  <a:ext cx="2529236" cy="257175"/>
                  <a:chOff x="13472765" y="5800725"/>
                  <a:chExt cx="2529236" cy="257175"/>
                </a:xfrm>
              </xdr:grpSpPr>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4453840" y="5800725"/>
                    <a:ext cx="87188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15501591" y="5800725"/>
                    <a:ext cx="50041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3472765" y="5800725"/>
                    <a:ext cx="62423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grpSp>
    <xdr:clientData/>
  </xdr:twoCellAnchor>
  <xdr:twoCellAnchor>
    <xdr:from>
      <xdr:col>0</xdr:col>
      <xdr:colOff>0</xdr:colOff>
      <xdr:row>0</xdr:row>
      <xdr:rowOff>0</xdr:rowOff>
    </xdr:from>
    <xdr:to>
      <xdr:col>37</xdr:col>
      <xdr:colOff>361950</xdr:colOff>
      <xdr:row>3</xdr:row>
      <xdr:rowOff>95250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0" y="0"/>
          <a:ext cx="22917150" cy="581025"/>
          <a:chOff x="0" y="0"/>
          <a:chExt cx="22917150" cy="581025"/>
        </a:xfrm>
      </xdr:grpSpPr>
      <xdr:grpSp>
        <xdr:nvGrpSpPr>
          <xdr:cNvPr id="13" name="Group 12">
            <a:extLst>
              <a:ext uri="{FF2B5EF4-FFF2-40B4-BE49-F238E27FC236}">
                <a16:creationId xmlns:a16="http://schemas.microsoft.com/office/drawing/2014/main" id="{00000000-0008-0000-0100-00000D000000}"/>
              </a:ext>
            </a:extLst>
          </xdr:cNvPr>
          <xdr:cNvGrpSpPr/>
        </xdr:nvGrpSpPr>
        <xdr:grpSpPr>
          <a:xfrm>
            <a:off x="0" y="0"/>
            <a:ext cx="22917150" cy="581025"/>
            <a:chOff x="0" y="0"/>
            <a:chExt cx="22917150" cy="581025"/>
          </a:xfrm>
        </xdr:grpSpPr>
        <xdr:sp macro="" textlink="">
          <xdr:nvSpPr>
            <xdr:cNvPr id="17" name="Rectangle 16">
              <a:extLst>
                <a:ext uri="{FF2B5EF4-FFF2-40B4-BE49-F238E27FC236}">
                  <a16:creationId xmlns:a16="http://schemas.microsoft.com/office/drawing/2014/main" id="{00000000-0008-0000-0100-000011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18" name="Picture 17" descr="Superstore - NBC.com">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20" name="TextBox 19">
              <a:hlinkClick xmlns:r="http://schemas.openxmlformats.org/officeDocument/2006/relationships" r:id="rId5" tooltip="Distribution"/>
              <a:extLst>
                <a:ext uri="{FF2B5EF4-FFF2-40B4-BE49-F238E27FC236}">
                  <a16:creationId xmlns:a16="http://schemas.microsoft.com/office/drawing/2014/main" id="{00000000-0008-0000-0100-000014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21" name="TextBox 20">
              <a:hlinkClick xmlns:r="http://schemas.openxmlformats.org/officeDocument/2006/relationships" r:id="rId6" tooltip="Sales &amp; Profit"/>
              <a:extLst>
                <a:ext uri="{FF2B5EF4-FFF2-40B4-BE49-F238E27FC236}">
                  <a16:creationId xmlns:a16="http://schemas.microsoft.com/office/drawing/2014/main" id="{00000000-0008-0000-0100-000015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26" name="TextBox 25">
              <a:hlinkClick xmlns:r="http://schemas.openxmlformats.org/officeDocument/2006/relationships" r:id="rId7" tooltip="Trends"/>
              <a:extLst>
                <a:ext uri="{FF2B5EF4-FFF2-40B4-BE49-F238E27FC236}">
                  <a16:creationId xmlns:a16="http://schemas.microsoft.com/office/drawing/2014/main" id="{00000000-0008-0000-0100-00001A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11591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 name="TextBox 30">
              <a:hlinkClick xmlns:r="http://schemas.openxmlformats.org/officeDocument/2006/relationships" r:id="rId8" tooltip="Sales Map"/>
              <a:extLst>
                <a:ext uri="{FF2B5EF4-FFF2-40B4-BE49-F238E27FC236}">
                  <a16:creationId xmlns:a16="http://schemas.microsoft.com/office/drawing/2014/main" id="{00000000-0008-0000-0100-00001F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15" name="Picture 14">
            <a:hlinkClick xmlns:r="http://schemas.openxmlformats.org/officeDocument/2006/relationships" r:id="rId9"/>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104775</xdr:rowOff>
    </xdr:from>
    <xdr:to>
      <xdr:col>29</xdr:col>
      <xdr:colOff>514350</xdr:colOff>
      <xdr:row>56</xdr:row>
      <xdr:rowOff>9525</xdr:rowOff>
    </xdr:to>
    <xdr:grpSp>
      <xdr:nvGrpSpPr>
        <xdr:cNvPr id="3242" name="Group 3241">
          <a:extLst>
            <a:ext uri="{FF2B5EF4-FFF2-40B4-BE49-F238E27FC236}">
              <a16:creationId xmlns:a16="http://schemas.microsoft.com/office/drawing/2014/main" id="{00000000-0008-0000-0200-0000AA0C0000}"/>
            </a:ext>
          </a:extLst>
        </xdr:cNvPr>
        <xdr:cNvGrpSpPr>
          <a:grpSpLocks noChangeAspect="1"/>
        </xdr:cNvGrpSpPr>
      </xdr:nvGrpSpPr>
      <xdr:grpSpPr>
        <a:xfrm>
          <a:off x="0" y="6238875"/>
          <a:ext cx="18192750" cy="2981325"/>
          <a:chOff x="0" y="6353175"/>
          <a:chExt cx="17887950" cy="2981325"/>
        </a:xfrm>
      </xdr:grpSpPr>
      <xdr:pic>
        <xdr:nvPicPr>
          <xdr:cNvPr id="3239" name="Picture 3238">
            <a:extLst>
              <a:ext uri="{FF2B5EF4-FFF2-40B4-BE49-F238E27FC236}">
                <a16:creationId xmlns:a16="http://schemas.microsoft.com/office/drawing/2014/main" id="{00000000-0008-0000-0200-0000A7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0" name="Picture 3239">
            <a:extLst>
              <a:ext uri="{FF2B5EF4-FFF2-40B4-BE49-F238E27FC236}">
                <a16:creationId xmlns:a16="http://schemas.microsoft.com/office/drawing/2014/main" id="{00000000-0008-0000-0200-0000A8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flipH="1">
            <a:off x="596265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1" name="Picture 3240">
            <a:extLst>
              <a:ext uri="{FF2B5EF4-FFF2-40B4-BE49-F238E27FC236}">
                <a16:creationId xmlns:a16="http://schemas.microsoft.com/office/drawing/2014/main" id="{00000000-0008-0000-0200-0000A9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1192530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30</xdr:row>
      <xdr:rowOff>152400</xdr:rowOff>
    </xdr:from>
    <xdr:to>
      <xdr:col>29</xdr:col>
      <xdr:colOff>428625</xdr:colOff>
      <xdr:row>50</xdr:row>
      <xdr:rowOff>57151</xdr:rowOff>
    </xdr:to>
    <xdr:grpSp>
      <xdr:nvGrpSpPr>
        <xdr:cNvPr id="3209" name="Group 3208">
          <a:extLst>
            <a:ext uri="{FF2B5EF4-FFF2-40B4-BE49-F238E27FC236}">
              <a16:creationId xmlns:a16="http://schemas.microsoft.com/office/drawing/2014/main" id="{00000000-0008-0000-0200-0000890C0000}"/>
            </a:ext>
          </a:extLst>
        </xdr:cNvPr>
        <xdr:cNvGrpSpPr/>
      </xdr:nvGrpSpPr>
      <xdr:grpSpPr>
        <a:xfrm>
          <a:off x="0" y="5153025"/>
          <a:ext cx="18107025" cy="3143251"/>
          <a:chOff x="561975" y="5295900"/>
          <a:chExt cx="18107025" cy="3143251"/>
        </a:xfrm>
      </xdr:grpSpPr>
      <xdr:grpSp>
        <xdr:nvGrpSpPr>
          <xdr:cNvPr id="3145" name="Group 3144">
            <a:extLst>
              <a:ext uri="{FF2B5EF4-FFF2-40B4-BE49-F238E27FC236}">
                <a16:creationId xmlns:a16="http://schemas.microsoft.com/office/drawing/2014/main" id="{00000000-0008-0000-0200-0000490C0000}"/>
              </a:ext>
            </a:extLst>
          </xdr:cNvPr>
          <xdr:cNvGrpSpPr/>
        </xdr:nvGrpSpPr>
        <xdr:grpSpPr>
          <a:xfrm flipH="1">
            <a:off x="9925050" y="5295900"/>
            <a:ext cx="8743950" cy="3143251"/>
            <a:chOff x="409575" y="5238750"/>
            <a:chExt cx="8743950" cy="3143251"/>
          </a:xfrm>
        </xdr:grpSpPr>
        <xdr:pic>
          <xdr:nvPicPr>
            <xdr:cNvPr id="3143" name="Picture 3142">
              <a:extLst>
                <a:ext uri="{FF2B5EF4-FFF2-40B4-BE49-F238E27FC236}">
                  <a16:creationId xmlns:a16="http://schemas.microsoft.com/office/drawing/2014/main" id="{00000000-0008-0000-0200-000047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144" name="Picture 3143">
              <a:extLst>
                <a:ext uri="{FF2B5EF4-FFF2-40B4-BE49-F238E27FC236}">
                  <a16:creationId xmlns:a16="http://schemas.microsoft.com/office/drawing/2014/main" id="{00000000-0008-0000-0200-000048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nvGrpSpPr>
          <xdr:cNvPr id="3198" name="Group 3197">
            <a:extLst>
              <a:ext uri="{FF2B5EF4-FFF2-40B4-BE49-F238E27FC236}">
                <a16:creationId xmlns:a16="http://schemas.microsoft.com/office/drawing/2014/main" id="{00000000-0008-0000-0200-00007E0C0000}"/>
              </a:ext>
            </a:extLst>
          </xdr:cNvPr>
          <xdr:cNvGrpSpPr/>
        </xdr:nvGrpSpPr>
        <xdr:grpSpPr>
          <a:xfrm>
            <a:off x="561975" y="5295900"/>
            <a:ext cx="8743950" cy="3143251"/>
            <a:chOff x="409575" y="5238750"/>
            <a:chExt cx="8743950" cy="3143251"/>
          </a:xfrm>
        </xdr:grpSpPr>
        <xdr:pic>
          <xdr:nvPicPr>
            <xdr:cNvPr id="3199" name="Picture 3198">
              <a:extLst>
                <a:ext uri="{FF2B5EF4-FFF2-40B4-BE49-F238E27FC236}">
                  <a16:creationId xmlns:a16="http://schemas.microsoft.com/office/drawing/2014/main" id="{00000000-0008-0000-0200-00007F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206" name="Picture 3205">
              <a:extLst>
                <a:ext uri="{FF2B5EF4-FFF2-40B4-BE49-F238E27FC236}">
                  <a16:creationId xmlns:a16="http://schemas.microsoft.com/office/drawing/2014/main" id="{00000000-0008-0000-0200-000086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clientData/>
  </xdr:twoCellAnchor>
  <xdr:twoCellAnchor>
    <xdr:from>
      <xdr:col>5</xdr:col>
      <xdr:colOff>607435</xdr:colOff>
      <xdr:row>12</xdr:row>
      <xdr:rowOff>2005</xdr:rowOff>
    </xdr:from>
    <xdr:to>
      <xdr:col>14</xdr:col>
      <xdr:colOff>166148</xdr:colOff>
      <xdr:row>27</xdr:row>
      <xdr:rowOff>58518</xdr:rowOff>
    </xdr:to>
    <xdr:grpSp>
      <xdr:nvGrpSpPr>
        <xdr:cNvPr id="58" name="Group 57">
          <a:extLst>
            <a:ext uri="{FF2B5EF4-FFF2-40B4-BE49-F238E27FC236}">
              <a16:creationId xmlns:a16="http://schemas.microsoft.com/office/drawing/2014/main" id="{00000000-0008-0000-0200-00003A000000}"/>
            </a:ext>
          </a:extLst>
        </xdr:cNvPr>
        <xdr:cNvGrpSpPr/>
      </xdr:nvGrpSpPr>
      <xdr:grpSpPr>
        <a:xfrm>
          <a:off x="3655435" y="1973680"/>
          <a:ext cx="5045113" cy="2599688"/>
          <a:chOff x="3655435" y="1973680"/>
          <a:chExt cx="5045113" cy="2599688"/>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655435" y="1973680"/>
            <a:ext cx="5045113" cy="2599688"/>
            <a:chOff x="3655435" y="1973680"/>
            <a:chExt cx="5045113" cy="2599688"/>
          </a:xfrm>
        </xdr:grpSpPr>
        <xdr:grpSp>
          <xdr:nvGrpSpPr>
            <xdr:cNvPr id="3205" name="Group 3204">
              <a:extLst>
                <a:ext uri="{FF2B5EF4-FFF2-40B4-BE49-F238E27FC236}">
                  <a16:creationId xmlns:a16="http://schemas.microsoft.com/office/drawing/2014/main" id="{00000000-0008-0000-0200-0000850C0000}"/>
                </a:ext>
              </a:extLst>
            </xdr:cNvPr>
            <xdr:cNvGrpSpPr/>
          </xdr:nvGrpSpPr>
          <xdr:grpSpPr>
            <a:xfrm>
              <a:off x="3655435" y="1973680"/>
              <a:ext cx="5045113" cy="2599688"/>
              <a:chOff x="5176487" y="4724400"/>
              <a:chExt cx="5045113" cy="2599688"/>
            </a:xfrm>
          </xdr:grpSpPr>
          <xdr:sp macro="" textlink="">
            <xdr:nvSpPr>
              <xdr:cNvPr id="8" name="Rectangle: Rounded Corners 40">
                <a:extLst>
                  <a:ext uri="{FF2B5EF4-FFF2-40B4-BE49-F238E27FC236}">
                    <a16:creationId xmlns:a16="http://schemas.microsoft.com/office/drawing/2014/main" id="{00000000-0008-0000-0200-000008000000}"/>
                  </a:ext>
                </a:extLst>
              </xdr:cNvPr>
              <xdr:cNvSpPr/>
            </xdr:nvSpPr>
            <xdr:spPr>
              <a:xfrm>
                <a:off x="5181600" y="4724400"/>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2" algn="ctr"/>
                <a:endParaRPr lang="en-US"/>
              </a:p>
            </xdr:txBody>
          </xdr:sp>
          <xdr:grpSp>
            <xdr:nvGrpSpPr>
              <xdr:cNvPr id="3204" name="Group 3203">
                <a:extLst>
                  <a:ext uri="{FF2B5EF4-FFF2-40B4-BE49-F238E27FC236}">
                    <a16:creationId xmlns:a16="http://schemas.microsoft.com/office/drawing/2014/main" id="{00000000-0008-0000-0200-0000840C0000}"/>
                  </a:ext>
                </a:extLst>
              </xdr:cNvPr>
              <xdr:cNvGrpSpPr/>
            </xdr:nvGrpSpPr>
            <xdr:grpSpPr>
              <a:xfrm>
                <a:off x="5176487" y="5416182"/>
                <a:ext cx="5040000" cy="1622793"/>
                <a:chOff x="5176487" y="5463807"/>
                <a:chExt cx="5040000" cy="1854870"/>
              </a:xfrm>
            </xdr:grpSpPr>
            <xdr:grpSp>
              <xdr:nvGrpSpPr>
                <xdr:cNvPr id="3200" name="Group 3199">
                  <a:extLst>
                    <a:ext uri="{FF2B5EF4-FFF2-40B4-BE49-F238E27FC236}">
                      <a16:creationId xmlns:a16="http://schemas.microsoft.com/office/drawing/2014/main" id="{00000000-0008-0000-0200-0000800C0000}"/>
                    </a:ext>
                  </a:extLst>
                </xdr:cNvPr>
                <xdr:cNvGrpSpPr/>
              </xdr:nvGrpSpPr>
              <xdr:grpSpPr>
                <a:xfrm>
                  <a:off x="8514791" y="5463807"/>
                  <a:ext cx="1701696" cy="1854870"/>
                  <a:chOff x="8514791" y="5463807"/>
                  <a:chExt cx="1701696" cy="1854870"/>
                </a:xfrm>
              </xdr:grpSpPr>
              <xdr:grpSp>
                <xdr:nvGrpSpPr>
                  <xdr:cNvPr id="3164" name="Group 3163">
                    <a:extLst>
                      <a:ext uri="{FF2B5EF4-FFF2-40B4-BE49-F238E27FC236}">
                        <a16:creationId xmlns:a16="http://schemas.microsoft.com/office/drawing/2014/main" id="{00000000-0008-0000-0200-00005C0C0000}"/>
                      </a:ext>
                    </a:extLst>
                  </xdr:cNvPr>
                  <xdr:cNvGrpSpPr/>
                </xdr:nvGrpSpPr>
                <xdr:grpSpPr>
                  <a:xfrm>
                    <a:off x="8514791" y="5463807"/>
                    <a:ext cx="1701696" cy="1575168"/>
                    <a:chOff x="8474036" y="5863857"/>
                    <a:chExt cx="1598400" cy="1216422"/>
                  </a:xfrm>
                </xdr:grpSpPr>
                <xdr:sp macro="" textlink="Pivot_tables!CC5">
                  <xdr:nvSpPr>
                    <xdr:cNvPr id="25" name="TextBox 24">
                      <a:extLst>
                        <a:ext uri="{FF2B5EF4-FFF2-40B4-BE49-F238E27FC236}">
                          <a16:creationId xmlns:a16="http://schemas.microsoft.com/office/drawing/2014/main" id="{00000000-0008-0000-0200-00001900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BD65CB3-1A29-4192-8B5E-0D80CD395DD7}" type="TxLink">
                        <a:rPr lang="en-US" sz="1400" b="0" i="0" u="none" strike="noStrike">
                          <a:ln>
                            <a:noFill/>
                          </a:ln>
                          <a:solidFill>
                            <a:srgbClr val="D43260"/>
                          </a:solidFill>
                          <a:latin typeface="Avenir Next LT Pro"/>
                        </a:rPr>
                        <a:pPr algn="r"/>
                        <a:t>Cust. Segment</a:t>
                      </a:fld>
                      <a:endParaRPr lang="en-US" sz="3200" b="0" i="0" u="none" strike="noStrike">
                        <a:ln>
                          <a:noFill/>
                        </a:ln>
                        <a:solidFill>
                          <a:srgbClr val="D43260"/>
                        </a:solidFill>
                        <a:latin typeface="Avenir Next LT Pro"/>
                      </a:endParaRPr>
                    </a:p>
                  </xdr:txBody>
                </xdr:sp>
                <xdr:grpSp>
                  <xdr:nvGrpSpPr>
                    <xdr:cNvPr id="50" name="Group 49">
                      <a:extLst>
                        <a:ext uri="{FF2B5EF4-FFF2-40B4-BE49-F238E27FC236}">
                          <a16:creationId xmlns:a16="http://schemas.microsoft.com/office/drawing/2014/main" id="{00000000-0008-0000-0200-000032000000}"/>
                        </a:ext>
                      </a:extLst>
                    </xdr:cNvPr>
                    <xdr:cNvGrpSpPr/>
                  </xdr:nvGrpSpPr>
                  <xdr:grpSpPr>
                    <a:xfrm>
                      <a:off x="8474036" y="6216281"/>
                      <a:ext cx="1597789" cy="863998"/>
                      <a:chOff x="8991825" y="6240787"/>
                      <a:chExt cx="1080000" cy="863998"/>
                    </a:xfrm>
                  </xdr:grpSpPr>
                  <xdr:sp macro="" textlink="Pivot_tables!CD5">
                    <xdr:nvSpPr>
                      <xdr:cNvPr id="26" name="TextBox 25">
                        <a:extLst>
                          <a:ext uri="{FF2B5EF4-FFF2-40B4-BE49-F238E27FC236}">
                            <a16:creationId xmlns:a16="http://schemas.microsoft.com/office/drawing/2014/main" id="{00000000-0008-0000-0200-00001A00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1" algn="r"/>
                        <a:fld id="{113937E3-9FBA-4950-A447-E8AE9F07F568}" type="TxLink">
                          <a:rPr lang="en-US" sz="1100" b="0" i="0" u="none" strike="noStrike">
                            <a:ln>
                              <a:noFill/>
                            </a:ln>
                            <a:solidFill>
                              <a:schemeClr val="bg1"/>
                            </a:solidFill>
                            <a:latin typeface="Avenir Next LT Pro"/>
                          </a:rPr>
                          <a:pPr lvl="1" algn="r"/>
                          <a:t>Home Office</a:t>
                        </a:fld>
                        <a:endParaRPr lang="en-US" sz="1200" b="0" i="0" u="none" strike="noStrike">
                          <a:ln>
                            <a:noFill/>
                          </a:ln>
                          <a:solidFill>
                            <a:schemeClr val="bg1"/>
                          </a:solidFill>
                          <a:latin typeface="Avenir Next LT Pro"/>
                        </a:endParaRPr>
                      </a:p>
                    </xdr:txBody>
                  </xdr:sp>
                  <xdr:sp macro="" textlink="Pivot_tables!CE5">
                    <xdr:nvSpPr>
                      <xdr:cNvPr id="27" name="TextBox 26">
                        <a:extLst>
                          <a:ext uri="{FF2B5EF4-FFF2-40B4-BE49-F238E27FC236}">
                            <a16:creationId xmlns:a16="http://schemas.microsoft.com/office/drawing/2014/main" id="{00000000-0008-0000-0200-00001B00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185862-6810-443A-A8AA-0400C6519284}" type="TxLink">
                          <a:rPr lang="en-US" sz="1100" b="0" i="0" u="none" strike="noStrike">
                            <a:ln>
                              <a:noFill/>
                            </a:ln>
                            <a:solidFill>
                              <a:schemeClr val="bg1"/>
                            </a:solidFill>
                            <a:latin typeface="Avenir Next LT Pro"/>
                          </a:rPr>
                          <a:pPr algn="r"/>
                          <a:t>Consumer</a:t>
                        </a:fld>
                        <a:endParaRPr lang="en-US" sz="1200" b="0" i="0" u="none" strike="noStrike">
                          <a:ln>
                            <a:noFill/>
                          </a:ln>
                          <a:solidFill>
                            <a:schemeClr val="bg1"/>
                          </a:solidFill>
                          <a:latin typeface="Avenir Next LT Pro"/>
                        </a:endParaRPr>
                      </a:p>
                    </xdr:txBody>
                  </xdr:sp>
                  <xdr:sp macro="" textlink="Pivot_tables!CF5">
                    <xdr:nvSpPr>
                      <xdr:cNvPr id="28" name="TextBox 27">
                        <a:extLst>
                          <a:ext uri="{FF2B5EF4-FFF2-40B4-BE49-F238E27FC236}">
                            <a16:creationId xmlns:a16="http://schemas.microsoft.com/office/drawing/2014/main" id="{00000000-0008-0000-0200-00001C00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92A286-4C33-4A12-8F2E-2D96CB91892A}" type="TxLink">
                          <a:rPr lang="en-US" sz="1100" b="0" i="0" u="none" strike="noStrike">
                            <a:ln>
                              <a:noFill/>
                            </a:ln>
                            <a:solidFill>
                              <a:schemeClr val="bg1"/>
                            </a:solidFill>
                            <a:latin typeface="Avenir Next LT Pro"/>
                          </a:rPr>
                          <a:pPr algn="r"/>
                          <a:t>Corporate</a:t>
                        </a:fld>
                        <a:endParaRPr lang="en-US" sz="1200" b="0" i="0" u="none" strike="noStrike">
                          <a:ln>
                            <a:noFill/>
                          </a:ln>
                          <a:solidFill>
                            <a:schemeClr val="bg1"/>
                          </a:solidFill>
                          <a:latin typeface="Avenir Next LT Pro"/>
                        </a:endParaRPr>
                      </a:p>
                    </xdr:txBody>
                  </xdr:sp>
                  <xdr:sp macro="" textlink="Pivot_tables!CG5">
                    <xdr:nvSpPr>
                      <xdr:cNvPr id="41" name="TextBox 40">
                        <a:extLst>
                          <a:ext uri="{FF2B5EF4-FFF2-40B4-BE49-F238E27FC236}">
                            <a16:creationId xmlns:a16="http://schemas.microsoft.com/office/drawing/2014/main" id="{00000000-0008-0000-0200-00002900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2342A2-1B0F-42BB-A337-8D010E624A6D}" type="TxLink">
                          <a:rPr lang="en-US" sz="1100" b="0" i="0" u="none" strike="noStrike">
                            <a:ln>
                              <a:noFill/>
                            </a:ln>
                            <a:solidFill>
                              <a:schemeClr val="bg1"/>
                            </a:solidFill>
                            <a:latin typeface="Avenir Next LT Pro"/>
                          </a:rPr>
                          <a:pPr algn="r"/>
                          <a:t>Small Business</a:t>
                        </a:fld>
                        <a:endParaRPr lang="en-US" sz="1200" b="0" i="0" u="none" strike="noStrike">
                          <a:ln>
                            <a:noFill/>
                          </a:ln>
                          <a:solidFill>
                            <a:schemeClr val="bg1"/>
                          </a:solidFill>
                          <a:latin typeface="Avenir Next LT Pro"/>
                        </a:endParaRPr>
                      </a:p>
                    </xdr:txBody>
                  </xdr:sp>
                </xdr:grpSp>
              </xdr:grpSp>
              <xdr:sp macro="" textlink="">
                <xdr:nvSpPr>
                  <xdr:cNvPr id="3190" name="TextBox 3189">
                    <a:extLst>
                      <a:ext uri="{FF2B5EF4-FFF2-40B4-BE49-F238E27FC236}">
                        <a16:creationId xmlns:a16="http://schemas.microsoft.com/office/drawing/2014/main" id="{00000000-0008-0000-0200-000076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endParaRPr lang="en-US" sz="1100" b="0" i="0" u="none" strike="noStrike">
                      <a:ln>
                        <a:noFill/>
                      </a:ln>
                      <a:solidFill>
                        <a:schemeClr val="bg1"/>
                      </a:solidFill>
                      <a:latin typeface="Avenir Next LT Pro"/>
                    </a:endParaRPr>
                  </a:p>
                </xdr:txBody>
              </xdr:sp>
            </xdr:grpSp>
            <xdr:grpSp>
              <xdr:nvGrpSpPr>
                <xdr:cNvPr id="3201" name="Group 3200">
                  <a:extLst>
                    <a:ext uri="{FF2B5EF4-FFF2-40B4-BE49-F238E27FC236}">
                      <a16:creationId xmlns:a16="http://schemas.microsoft.com/office/drawing/2014/main" id="{00000000-0008-0000-0200-0000810C0000}"/>
                    </a:ext>
                  </a:extLst>
                </xdr:cNvPr>
                <xdr:cNvGrpSpPr/>
              </xdr:nvGrpSpPr>
              <xdr:grpSpPr>
                <a:xfrm>
                  <a:off x="7402023" y="5463807"/>
                  <a:ext cx="1112993" cy="1854870"/>
                  <a:chOff x="7402023" y="5463807"/>
                  <a:chExt cx="1112993" cy="1854870"/>
                </a:xfrm>
              </xdr:grpSpPr>
              <xdr:grpSp>
                <xdr:nvGrpSpPr>
                  <xdr:cNvPr id="3163" name="Group 3162">
                    <a:extLst>
                      <a:ext uri="{FF2B5EF4-FFF2-40B4-BE49-F238E27FC236}">
                        <a16:creationId xmlns:a16="http://schemas.microsoft.com/office/drawing/2014/main" id="{00000000-0008-0000-0200-00005B0C0000}"/>
                      </a:ext>
                    </a:extLst>
                  </xdr:cNvPr>
                  <xdr:cNvGrpSpPr/>
                </xdr:nvGrpSpPr>
                <xdr:grpSpPr>
                  <a:xfrm>
                    <a:off x="7402023" y="5463807"/>
                    <a:ext cx="1112768" cy="1575168"/>
                    <a:chOff x="7408843" y="5863857"/>
                    <a:chExt cx="1065600" cy="1216422"/>
                  </a:xfrm>
                </xdr:grpSpPr>
                <xdr:sp macro="" textlink="Pivot_tables!CC6">
                  <xdr:nvSpPr>
                    <xdr:cNvPr id="19" name="TextBox 18">
                      <a:extLst>
                        <a:ext uri="{FF2B5EF4-FFF2-40B4-BE49-F238E27FC236}">
                          <a16:creationId xmlns:a16="http://schemas.microsoft.com/office/drawing/2014/main" id="{00000000-0008-0000-0200-00001300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AA1E9B-CF31-4893-8430-EB0BCDC3409C}" type="TxLink">
                        <a:rPr lang="en-US" sz="1400" b="0" i="0" u="none" strike="noStrike">
                          <a:ln>
                            <a:noFill/>
                          </a:ln>
                          <a:solidFill>
                            <a:srgbClr val="D43260"/>
                          </a:solidFill>
                          <a:latin typeface="Avenir Next LT Pro"/>
                        </a:rPr>
                        <a:pPr algn="ctr"/>
                        <a:t>Sales</a:t>
                      </a:fld>
                      <a:endParaRPr lang="en-US" sz="1800" b="0" i="0" u="none" strike="noStrike">
                        <a:ln>
                          <a:noFill/>
                        </a:ln>
                        <a:solidFill>
                          <a:srgbClr val="D43260"/>
                        </a:solidFill>
                        <a:latin typeface="Avenir Next LT Pro"/>
                      </a:endParaRPr>
                    </a:p>
                  </xdr:txBody>
                </xdr:sp>
                <xdr:grpSp>
                  <xdr:nvGrpSpPr>
                    <xdr:cNvPr id="49" name="Group 48">
                      <a:extLst>
                        <a:ext uri="{FF2B5EF4-FFF2-40B4-BE49-F238E27FC236}">
                          <a16:creationId xmlns:a16="http://schemas.microsoft.com/office/drawing/2014/main" id="{00000000-0008-0000-0200-000031000000}"/>
                        </a:ext>
                      </a:extLst>
                    </xdr:cNvPr>
                    <xdr:cNvGrpSpPr/>
                  </xdr:nvGrpSpPr>
                  <xdr:grpSpPr>
                    <a:xfrm>
                      <a:off x="7408843" y="6216281"/>
                      <a:ext cx="1065193" cy="863998"/>
                      <a:chOff x="8001224" y="6240787"/>
                      <a:chExt cx="720000" cy="863998"/>
                    </a:xfrm>
                  </xdr:grpSpPr>
                  <xdr:sp macro="" textlink="Pivot_tables!CD6">
                    <xdr:nvSpPr>
                      <xdr:cNvPr id="20" name="TextBox 19">
                        <a:extLst>
                          <a:ext uri="{FF2B5EF4-FFF2-40B4-BE49-F238E27FC236}">
                            <a16:creationId xmlns:a16="http://schemas.microsoft.com/office/drawing/2014/main" id="{00000000-0008-0000-0200-00001400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43B0BA-E783-4783-BEB1-96BA34D3F91A}" type="TxLink">
                          <a:rPr lang="en-US" sz="1100" b="0" i="0" u="none" strike="noStrike">
                            <a:ln>
                              <a:noFill/>
                            </a:ln>
                            <a:solidFill>
                              <a:schemeClr val="bg1"/>
                            </a:solidFill>
                            <a:latin typeface="Avenir Next LT Pro"/>
                          </a:rPr>
                          <a:pPr algn="ctr"/>
                          <a:t>$461,346</a:t>
                        </a:fld>
                        <a:endParaRPr lang="en-US" sz="1200" b="0" i="0" u="none" strike="noStrike">
                          <a:ln>
                            <a:noFill/>
                          </a:ln>
                          <a:solidFill>
                            <a:schemeClr val="bg1"/>
                          </a:solidFill>
                          <a:latin typeface="Avenir Next LT Pro"/>
                        </a:endParaRPr>
                      </a:p>
                    </xdr:txBody>
                  </xdr:sp>
                  <xdr:sp macro="" textlink="Pivot_tables!CE6">
                    <xdr:nvSpPr>
                      <xdr:cNvPr id="21" name="TextBox 20">
                        <a:extLst>
                          <a:ext uri="{FF2B5EF4-FFF2-40B4-BE49-F238E27FC236}">
                            <a16:creationId xmlns:a16="http://schemas.microsoft.com/office/drawing/2014/main" id="{00000000-0008-0000-0200-00001500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D394ED-41C0-4C23-B5D0-3B0E42D901FF}" type="TxLink">
                          <a:rPr lang="en-US" sz="1100" b="0" i="0" u="none" strike="noStrike">
                            <a:ln>
                              <a:noFill/>
                            </a:ln>
                            <a:solidFill>
                              <a:schemeClr val="bg1"/>
                            </a:solidFill>
                            <a:latin typeface="Avenir Next LT Pro"/>
                          </a:rPr>
                          <a:pPr algn="ctr"/>
                          <a:t>$394,052</a:t>
                        </a:fld>
                        <a:endParaRPr lang="en-US" sz="1200" b="0" i="0" u="none" strike="noStrike">
                          <a:ln>
                            <a:noFill/>
                          </a:ln>
                          <a:solidFill>
                            <a:schemeClr val="bg1"/>
                          </a:solidFill>
                          <a:latin typeface="Avenir Next LT Pro"/>
                        </a:endParaRPr>
                      </a:p>
                    </xdr:txBody>
                  </xdr:sp>
                  <xdr:sp macro="" textlink="Pivot_tables!CF6">
                    <xdr:nvSpPr>
                      <xdr:cNvPr id="22" name="TextBox 21">
                        <a:extLst>
                          <a:ext uri="{FF2B5EF4-FFF2-40B4-BE49-F238E27FC236}">
                            <a16:creationId xmlns:a16="http://schemas.microsoft.com/office/drawing/2014/main" id="{00000000-0008-0000-0200-00001600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994C8A-F4AD-44DE-971F-398CD99EACDA}" type="TxLink">
                          <a:rPr lang="en-US" sz="1100" b="0" i="0" u="none" strike="noStrike">
                            <a:ln>
                              <a:noFill/>
                            </a:ln>
                            <a:solidFill>
                              <a:schemeClr val="bg1"/>
                            </a:solidFill>
                            <a:latin typeface="Avenir Next LT Pro"/>
                          </a:rPr>
                          <a:pPr algn="ctr"/>
                          <a:t>$634,861</a:t>
                        </a:fld>
                        <a:endParaRPr lang="en-US" sz="1200" b="0" i="0" u="none" strike="noStrike">
                          <a:ln>
                            <a:noFill/>
                          </a:ln>
                          <a:solidFill>
                            <a:schemeClr val="bg1"/>
                          </a:solidFill>
                          <a:latin typeface="Avenir Next LT Pro"/>
                        </a:endParaRPr>
                      </a:p>
                    </xdr:txBody>
                  </xdr:sp>
                  <xdr:sp macro="" textlink="Pivot_tables!CG6">
                    <xdr:nvSpPr>
                      <xdr:cNvPr id="24" name="TextBox 23">
                        <a:extLst>
                          <a:ext uri="{FF2B5EF4-FFF2-40B4-BE49-F238E27FC236}">
                            <a16:creationId xmlns:a16="http://schemas.microsoft.com/office/drawing/2014/main" id="{00000000-0008-0000-0200-00001800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286CFC-A858-4EB7-98AD-0382D6ABF79E}" type="TxLink">
                          <a:rPr lang="en-US" sz="1100" b="0" i="0" u="none" strike="noStrike">
                            <a:ln>
                              <a:noFill/>
                            </a:ln>
                            <a:solidFill>
                              <a:schemeClr val="bg1"/>
                            </a:solidFill>
                            <a:latin typeface="Avenir Next LT Pro"/>
                          </a:rPr>
                          <a:pPr algn="ctr"/>
                          <a:t>$391,266</a:t>
                        </a:fld>
                        <a:endParaRPr lang="en-US" sz="1200" b="0" i="0" u="none" strike="noStrike">
                          <a:ln>
                            <a:noFill/>
                          </a:ln>
                          <a:solidFill>
                            <a:schemeClr val="bg1"/>
                          </a:solidFill>
                          <a:latin typeface="Avenir Next LT Pro"/>
                        </a:endParaRPr>
                      </a:p>
                    </xdr:txBody>
                  </xdr:sp>
                </xdr:grpSp>
              </xdr:grpSp>
              <xdr:sp macro="" textlink="">
                <xdr:nvSpPr>
                  <xdr:cNvPr id="3191" name="TextBox 3190">
                    <a:extLst>
                      <a:ext uri="{FF2B5EF4-FFF2-40B4-BE49-F238E27FC236}">
                        <a16:creationId xmlns:a16="http://schemas.microsoft.com/office/drawing/2014/main" id="{00000000-0008-0000-0200-000077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0" i="0" u="none" strike="noStrike">
                        <a:ln>
                          <a:noFill/>
                        </a:ln>
                        <a:solidFill>
                          <a:schemeClr val="bg1"/>
                        </a:solidFill>
                        <a:latin typeface="Avenir Next LT Pro"/>
                      </a:rPr>
                      <a:t> </a:t>
                    </a:r>
                  </a:p>
                </xdr:txBody>
              </xdr:sp>
            </xdr:grpSp>
            <xdr:grpSp>
              <xdr:nvGrpSpPr>
                <xdr:cNvPr id="3202" name="Group 3201">
                  <a:extLst>
                    <a:ext uri="{FF2B5EF4-FFF2-40B4-BE49-F238E27FC236}">
                      <a16:creationId xmlns:a16="http://schemas.microsoft.com/office/drawing/2014/main" id="{00000000-0008-0000-0200-0000820C0000}"/>
                    </a:ext>
                  </a:extLst>
                </xdr:cNvPr>
                <xdr:cNvGrpSpPr/>
              </xdr:nvGrpSpPr>
              <xdr:grpSpPr>
                <a:xfrm>
                  <a:off x="6289255" y="5463807"/>
                  <a:ext cx="1113418" cy="1854870"/>
                  <a:chOff x="6289255" y="5463807"/>
                  <a:chExt cx="1113418" cy="1854870"/>
                </a:xfrm>
              </xdr:grpSpPr>
              <xdr:grpSp>
                <xdr:nvGrpSpPr>
                  <xdr:cNvPr id="3165" name="Group 3164">
                    <a:extLst>
                      <a:ext uri="{FF2B5EF4-FFF2-40B4-BE49-F238E27FC236}">
                        <a16:creationId xmlns:a16="http://schemas.microsoft.com/office/drawing/2014/main" id="{00000000-0008-0000-0200-00005D0C0000}"/>
                      </a:ext>
                    </a:extLst>
                  </xdr:cNvPr>
                  <xdr:cNvGrpSpPr/>
                </xdr:nvGrpSpPr>
                <xdr:grpSpPr>
                  <a:xfrm>
                    <a:off x="6289255" y="5463807"/>
                    <a:ext cx="1112768" cy="1575168"/>
                    <a:chOff x="6343650" y="5863857"/>
                    <a:chExt cx="1065600" cy="1216422"/>
                  </a:xfrm>
                </xdr:grpSpPr>
                <xdr:sp macro="" textlink="Pivot_tables!CC8">
                  <xdr:nvSpPr>
                    <xdr:cNvPr id="14" name="TextBox 13">
                      <a:extLst>
                        <a:ext uri="{FF2B5EF4-FFF2-40B4-BE49-F238E27FC236}">
                          <a16:creationId xmlns:a16="http://schemas.microsoft.com/office/drawing/2014/main" id="{00000000-0008-0000-0200-00000E00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C7C195-4281-4126-B894-3F73C4C06E96}"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48" name="Group 47">
                      <a:extLst>
                        <a:ext uri="{FF2B5EF4-FFF2-40B4-BE49-F238E27FC236}">
                          <a16:creationId xmlns:a16="http://schemas.microsoft.com/office/drawing/2014/main" id="{00000000-0008-0000-0200-000030000000}"/>
                        </a:ext>
                      </a:extLst>
                    </xdr:cNvPr>
                    <xdr:cNvGrpSpPr/>
                  </xdr:nvGrpSpPr>
                  <xdr:grpSpPr>
                    <a:xfrm>
                      <a:off x="6344057" y="6216281"/>
                      <a:ext cx="1065193" cy="863998"/>
                      <a:chOff x="7018125" y="6240787"/>
                      <a:chExt cx="720000" cy="863998"/>
                    </a:xfrm>
                  </xdr:grpSpPr>
                  <xdr:sp macro="" textlink="Pivot_tables!CD8">
                    <xdr:nvSpPr>
                      <xdr:cNvPr id="15" name="TextBox 14">
                        <a:extLst>
                          <a:ext uri="{FF2B5EF4-FFF2-40B4-BE49-F238E27FC236}">
                            <a16:creationId xmlns:a16="http://schemas.microsoft.com/office/drawing/2014/main" id="{00000000-0008-0000-0200-00000F00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2DB21A-77BC-46AE-8BF0-0D404AE3AD68}" type="TxLink">
                          <a:rPr lang="en-US" sz="1100" b="0" i="0" u="none" strike="noStrike">
                            <a:ln>
                              <a:noFill/>
                            </a:ln>
                            <a:solidFill>
                              <a:schemeClr val="bg1"/>
                            </a:solidFill>
                            <a:latin typeface="Avenir Next LT Pro"/>
                          </a:rPr>
                          <a:pPr algn="ctr"/>
                          <a:t>334</a:t>
                        </a:fld>
                        <a:endParaRPr lang="en-US" sz="1200" b="0" i="0" u="none" strike="noStrike">
                          <a:ln>
                            <a:noFill/>
                          </a:ln>
                          <a:solidFill>
                            <a:schemeClr val="bg1"/>
                          </a:solidFill>
                          <a:latin typeface="Avenir Next LT Pro"/>
                        </a:endParaRPr>
                      </a:p>
                    </xdr:txBody>
                  </xdr:sp>
                  <xdr:sp macro="" textlink="Pivot_tables!CE8">
                    <xdr:nvSpPr>
                      <xdr:cNvPr id="16" name="TextBox 15">
                        <a:extLst>
                          <a:ext uri="{FF2B5EF4-FFF2-40B4-BE49-F238E27FC236}">
                            <a16:creationId xmlns:a16="http://schemas.microsoft.com/office/drawing/2014/main" id="{00000000-0008-0000-0200-00001000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4F692E-CDD7-4DD3-95EC-405435DAFE69}" type="TxLink">
                          <a:rPr lang="en-US" sz="1100" b="0" i="0" u="none" strike="noStrike">
                            <a:ln>
                              <a:noFill/>
                            </a:ln>
                            <a:solidFill>
                              <a:schemeClr val="bg1"/>
                            </a:solidFill>
                            <a:latin typeface="Avenir Next LT Pro"/>
                          </a:rPr>
                          <a:pPr algn="ctr"/>
                          <a:t>294</a:t>
                        </a:fld>
                        <a:endParaRPr lang="en-US" sz="1200" b="0" i="0" u="none" strike="noStrike">
                          <a:ln>
                            <a:noFill/>
                          </a:ln>
                          <a:solidFill>
                            <a:schemeClr val="bg1"/>
                          </a:solidFill>
                          <a:latin typeface="Avenir Next LT Pro"/>
                        </a:endParaRPr>
                      </a:p>
                    </xdr:txBody>
                  </xdr:sp>
                  <xdr:sp macro="" textlink="Pivot_tables!CF8">
                    <xdr:nvSpPr>
                      <xdr:cNvPr id="17" name="TextBox 16">
                        <a:extLst>
                          <a:ext uri="{FF2B5EF4-FFF2-40B4-BE49-F238E27FC236}">
                            <a16:creationId xmlns:a16="http://schemas.microsoft.com/office/drawing/2014/main" id="{00000000-0008-0000-0200-00001100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CF9A51-A3C3-4796-8181-2E37806DAE40}" type="TxLink">
                          <a:rPr lang="en-US" sz="1100" b="0" i="0" u="none" strike="noStrike">
                            <a:ln>
                              <a:noFill/>
                            </a:ln>
                            <a:solidFill>
                              <a:schemeClr val="bg1"/>
                            </a:solidFill>
                            <a:latin typeface="Avenir Next LT Pro"/>
                          </a:rPr>
                          <a:pPr algn="ctr"/>
                          <a:t>470</a:t>
                        </a:fld>
                        <a:endParaRPr lang="en-US" sz="1200" b="0" i="0" u="none" strike="noStrike">
                          <a:ln>
                            <a:noFill/>
                          </a:ln>
                          <a:solidFill>
                            <a:schemeClr val="bg1"/>
                          </a:solidFill>
                          <a:latin typeface="Avenir Next LT Pro"/>
                        </a:endParaRPr>
                      </a:p>
                    </xdr:txBody>
                  </xdr:sp>
                  <xdr:sp macro="" textlink="Pivot_tables!CG8">
                    <xdr:nvSpPr>
                      <xdr:cNvPr id="18" name="TextBox 17">
                        <a:extLst>
                          <a:ext uri="{FF2B5EF4-FFF2-40B4-BE49-F238E27FC236}">
                            <a16:creationId xmlns:a16="http://schemas.microsoft.com/office/drawing/2014/main" id="{00000000-0008-0000-0200-00001200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4C5AD0-6B79-4963-9D54-955DC359F926}" type="TxLink">
                          <a:rPr lang="en-US" sz="1100" b="0" i="0" u="none" strike="noStrike">
                            <a:ln>
                              <a:noFill/>
                            </a:ln>
                            <a:solidFill>
                              <a:schemeClr val="bg1"/>
                            </a:solidFill>
                            <a:latin typeface="Avenir Next LT Pro"/>
                          </a:rPr>
                          <a:pPr algn="ctr"/>
                          <a:t>263</a:t>
                        </a:fld>
                        <a:endParaRPr lang="en-US" sz="1200" b="0" i="0" u="none" strike="noStrike">
                          <a:ln>
                            <a:noFill/>
                          </a:ln>
                          <a:solidFill>
                            <a:schemeClr val="bg1"/>
                          </a:solidFill>
                          <a:latin typeface="Avenir Next LT Pro"/>
                        </a:endParaRPr>
                      </a:p>
                    </xdr:txBody>
                  </xdr:sp>
                </xdr:grpSp>
              </xdr:grpSp>
              <xdr:sp macro="" textlink="">
                <xdr:nvSpPr>
                  <xdr:cNvPr id="3192" name="TextBox 3191">
                    <a:extLst>
                      <a:ext uri="{FF2B5EF4-FFF2-40B4-BE49-F238E27FC236}">
                        <a16:creationId xmlns:a16="http://schemas.microsoft.com/office/drawing/2014/main" id="{00000000-0008-0000-0200-000078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nvGrpSpPr>
                <xdr:cNvPr id="3203" name="Group 3202">
                  <a:extLst>
                    <a:ext uri="{FF2B5EF4-FFF2-40B4-BE49-F238E27FC236}">
                      <a16:creationId xmlns:a16="http://schemas.microsoft.com/office/drawing/2014/main" id="{00000000-0008-0000-0200-0000830C0000}"/>
                    </a:ext>
                  </a:extLst>
                </xdr:cNvPr>
                <xdr:cNvGrpSpPr/>
              </xdr:nvGrpSpPr>
              <xdr:grpSpPr>
                <a:xfrm>
                  <a:off x="5176487" y="5463807"/>
                  <a:ext cx="1113418" cy="1854870"/>
                  <a:chOff x="5176487" y="5463807"/>
                  <a:chExt cx="1113418" cy="1854870"/>
                </a:xfrm>
              </xdr:grpSpPr>
              <xdr:grpSp>
                <xdr:nvGrpSpPr>
                  <xdr:cNvPr id="3175" name="Group 3174">
                    <a:extLst>
                      <a:ext uri="{FF2B5EF4-FFF2-40B4-BE49-F238E27FC236}">
                        <a16:creationId xmlns:a16="http://schemas.microsoft.com/office/drawing/2014/main" id="{00000000-0008-0000-0200-0000670C0000}"/>
                      </a:ext>
                    </a:extLst>
                  </xdr:cNvPr>
                  <xdr:cNvGrpSpPr/>
                </xdr:nvGrpSpPr>
                <xdr:grpSpPr>
                  <a:xfrm>
                    <a:off x="5176487" y="5463807"/>
                    <a:ext cx="1112768" cy="1575168"/>
                    <a:chOff x="6343650" y="5863857"/>
                    <a:chExt cx="1065600" cy="1216422"/>
                  </a:xfrm>
                </xdr:grpSpPr>
                <xdr:sp macro="" textlink="">
                  <xdr:nvSpPr>
                    <xdr:cNvPr id="3176" name="TextBox 3175">
                      <a:extLst>
                        <a:ext uri="{FF2B5EF4-FFF2-40B4-BE49-F238E27FC236}">
                          <a16:creationId xmlns:a16="http://schemas.microsoft.com/office/drawing/2014/main" id="{00000000-0008-0000-0200-000068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177" name="Group 3176">
                      <a:extLst>
                        <a:ext uri="{FF2B5EF4-FFF2-40B4-BE49-F238E27FC236}">
                          <a16:creationId xmlns:a16="http://schemas.microsoft.com/office/drawing/2014/main" id="{00000000-0008-0000-0200-0000690C0000}"/>
                        </a:ext>
                      </a:extLst>
                    </xdr:cNvPr>
                    <xdr:cNvGrpSpPr/>
                  </xdr:nvGrpSpPr>
                  <xdr:grpSpPr>
                    <a:xfrm>
                      <a:off x="6344057" y="6216281"/>
                      <a:ext cx="1065193" cy="863998"/>
                      <a:chOff x="7018125" y="6240787"/>
                      <a:chExt cx="720000" cy="863998"/>
                    </a:xfrm>
                  </xdr:grpSpPr>
                  <xdr:sp macro="" textlink="">
                    <xdr:nvSpPr>
                      <xdr:cNvPr id="3178" name="TextBox 3177">
                        <a:extLst>
                          <a:ext uri="{FF2B5EF4-FFF2-40B4-BE49-F238E27FC236}">
                            <a16:creationId xmlns:a16="http://schemas.microsoft.com/office/drawing/2014/main" id="{00000000-0008-0000-0200-00006A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79" name="TextBox 3178">
                        <a:extLst>
                          <a:ext uri="{FF2B5EF4-FFF2-40B4-BE49-F238E27FC236}">
                            <a16:creationId xmlns:a16="http://schemas.microsoft.com/office/drawing/2014/main" id="{00000000-0008-0000-0200-00006B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0" name="TextBox 3179">
                        <a:extLst>
                          <a:ext uri="{FF2B5EF4-FFF2-40B4-BE49-F238E27FC236}">
                            <a16:creationId xmlns:a16="http://schemas.microsoft.com/office/drawing/2014/main" id="{00000000-0008-0000-0200-00006C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1" name="TextBox 3180">
                        <a:extLst>
                          <a:ext uri="{FF2B5EF4-FFF2-40B4-BE49-F238E27FC236}">
                            <a16:creationId xmlns:a16="http://schemas.microsoft.com/office/drawing/2014/main" id="{00000000-0008-0000-0200-00006D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193" name="TextBox 3192">
                    <a:extLst>
                      <a:ext uri="{FF2B5EF4-FFF2-40B4-BE49-F238E27FC236}">
                        <a16:creationId xmlns:a16="http://schemas.microsoft.com/office/drawing/2014/main" id="{00000000-0008-0000-0200-000079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CC4">
          <xdr:nvSpPr>
            <xdr:cNvPr id="2" name="TextBox 1">
              <a:extLst>
                <a:ext uri="{FF2B5EF4-FFF2-40B4-BE49-F238E27FC236}">
                  <a16:creationId xmlns:a16="http://schemas.microsoft.com/office/drawing/2014/main" id="{00000000-0008-0000-0200-000002000000}"/>
                </a:ext>
              </a:extLst>
            </xdr:cNvPr>
            <xdr:cNvSpPr txBox="1"/>
          </xdr:nvSpPr>
          <xdr:spPr>
            <a:xfrm>
              <a:off x="4709574" y="2000250"/>
              <a:ext cx="376237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53B7AE-4234-4F39-AE3F-14089FB8E2B4}"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Sales of $1881525 Over Cust Segment,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43" name="Group 42">
            <a:extLst>
              <a:ext uri="{FF2B5EF4-FFF2-40B4-BE49-F238E27FC236}">
                <a16:creationId xmlns:a16="http://schemas.microsoft.com/office/drawing/2014/main" id="{00000000-0008-0000-0200-00002B000000}"/>
              </a:ext>
            </a:extLst>
          </xdr:cNvPr>
          <xdr:cNvGrpSpPr/>
        </xdr:nvGrpSpPr>
        <xdr:grpSpPr>
          <a:xfrm>
            <a:off x="7058025" y="3133725"/>
            <a:ext cx="108000" cy="850950"/>
            <a:chOff x="7429500" y="3133725"/>
            <a:chExt cx="108000" cy="850950"/>
          </a:xfrm>
        </xdr:grpSpPr>
        <xdr:sp macro="" textlink="">
          <xdr:nvSpPr>
            <xdr:cNvPr id="12" name="Oval 11">
              <a:extLst>
                <a:ext uri="{FF2B5EF4-FFF2-40B4-BE49-F238E27FC236}">
                  <a16:creationId xmlns:a16="http://schemas.microsoft.com/office/drawing/2014/main" id="{00000000-0008-0000-0200-00000C000000}"/>
                </a:ext>
              </a:extLst>
            </xdr:cNvPr>
            <xdr:cNvSpPr/>
          </xdr:nvSpPr>
          <xdr:spPr>
            <a:xfrm>
              <a:off x="7429500"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3" name="Oval 12">
              <a:extLst>
                <a:ext uri="{FF2B5EF4-FFF2-40B4-BE49-F238E27FC236}">
                  <a16:creationId xmlns:a16="http://schemas.microsoft.com/office/drawing/2014/main" id="{00000000-0008-0000-0200-00000D000000}"/>
                </a:ext>
              </a:extLst>
            </xdr:cNvPr>
            <xdr:cNvSpPr/>
          </xdr:nvSpPr>
          <xdr:spPr>
            <a:xfrm>
              <a:off x="7429500" y="338137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0" name="Oval 39">
              <a:extLst>
                <a:ext uri="{FF2B5EF4-FFF2-40B4-BE49-F238E27FC236}">
                  <a16:creationId xmlns:a16="http://schemas.microsoft.com/office/drawing/2014/main" id="{00000000-0008-0000-0200-000028000000}"/>
                </a:ext>
              </a:extLst>
            </xdr:cNvPr>
            <xdr:cNvSpPr/>
          </xdr:nvSpPr>
          <xdr:spPr>
            <a:xfrm>
              <a:off x="7429500" y="362902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2" name="Oval 41">
              <a:extLst>
                <a:ext uri="{FF2B5EF4-FFF2-40B4-BE49-F238E27FC236}">
                  <a16:creationId xmlns:a16="http://schemas.microsoft.com/office/drawing/2014/main" id="{00000000-0008-0000-0200-00002A000000}"/>
                </a:ext>
              </a:extLst>
            </xdr:cNvPr>
            <xdr:cNvSpPr/>
          </xdr:nvSpPr>
          <xdr:spPr>
            <a:xfrm>
              <a:off x="7429500" y="3876675"/>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15</xdr:col>
      <xdr:colOff>223873</xdr:colOff>
      <xdr:row>12</xdr:row>
      <xdr:rowOff>2005</xdr:rowOff>
    </xdr:from>
    <xdr:to>
      <xdr:col>23</xdr:col>
      <xdr:colOff>387073</xdr:colOff>
      <xdr:row>27</xdr:row>
      <xdr:rowOff>58518</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9367873" y="1973680"/>
          <a:ext cx="5040000" cy="2599688"/>
          <a:chOff x="9367873" y="1973680"/>
          <a:chExt cx="5040000" cy="2599688"/>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9367873" y="1973680"/>
            <a:ext cx="5040000" cy="2599688"/>
            <a:chOff x="9367873" y="1973680"/>
            <a:chExt cx="5040000" cy="2599688"/>
          </a:xfrm>
        </xdr:grpSpPr>
        <xdr:grpSp>
          <xdr:nvGrpSpPr>
            <xdr:cNvPr id="123" name="Group 122">
              <a:extLst>
                <a:ext uri="{FF2B5EF4-FFF2-40B4-BE49-F238E27FC236}">
                  <a16:creationId xmlns:a16="http://schemas.microsoft.com/office/drawing/2014/main" id="{00000000-0008-0000-0200-00007B000000}"/>
                </a:ext>
              </a:extLst>
            </xdr:cNvPr>
            <xdr:cNvGrpSpPr/>
          </xdr:nvGrpSpPr>
          <xdr:grpSpPr>
            <a:xfrm>
              <a:off x="9367873" y="1973680"/>
              <a:ext cx="5040000" cy="2599688"/>
              <a:chOff x="8327798" y="4802605"/>
              <a:chExt cx="5040000" cy="2599688"/>
            </a:xfrm>
          </xdr:grpSpPr>
          <xdr:sp macro="" textlink="">
            <xdr:nvSpPr>
              <xdr:cNvPr id="3207" name="Rectangle: Rounded Corners 40">
                <a:extLst>
                  <a:ext uri="{FF2B5EF4-FFF2-40B4-BE49-F238E27FC236}">
                    <a16:creationId xmlns:a16="http://schemas.microsoft.com/office/drawing/2014/main" id="{00000000-0008-0000-0200-0000870C0000}"/>
                  </a:ext>
                </a:extLst>
              </xdr:cNvPr>
              <xdr:cNvSpPr/>
            </xdr:nvSpPr>
            <xdr:spPr>
              <a:xfrm>
                <a:off x="8327798" y="4802605"/>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122" name="Group 121">
                <a:extLst>
                  <a:ext uri="{FF2B5EF4-FFF2-40B4-BE49-F238E27FC236}">
                    <a16:creationId xmlns:a16="http://schemas.microsoft.com/office/drawing/2014/main" id="{00000000-0008-0000-0200-00007A000000}"/>
                  </a:ext>
                </a:extLst>
              </xdr:cNvPr>
              <xdr:cNvGrpSpPr/>
            </xdr:nvGrpSpPr>
            <xdr:grpSpPr>
              <a:xfrm>
                <a:off x="8327798" y="5494387"/>
                <a:ext cx="5040000" cy="1622793"/>
                <a:chOff x="8327798" y="5494387"/>
                <a:chExt cx="5040000" cy="1622793"/>
              </a:xfrm>
            </xdr:grpSpPr>
            <xdr:grpSp>
              <xdr:nvGrpSpPr>
                <xdr:cNvPr id="3213" name="Group 3212">
                  <a:extLst>
                    <a:ext uri="{FF2B5EF4-FFF2-40B4-BE49-F238E27FC236}">
                      <a16:creationId xmlns:a16="http://schemas.microsoft.com/office/drawing/2014/main" id="{00000000-0008-0000-0200-00008D0C0000}"/>
                    </a:ext>
                  </a:extLst>
                </xdr:cNvPr>
                <xdr:cNvGrpSpPr/>
              </xdr:nvGrpSpPr>
              <xdr:grpSpPr>
                <a:xfrm>
                  <a:off x="8327798" y="5494387"/>
                  <a:ext cx="1701696" cy="1622793"/>
                  <a:chOff x="8514791" y="5463807"/>
                  <a:chExt cx="1701696" cy="1854870"/>
                </a:xfrm>
              </xdr:grpSpPr>
              <xdr:grpSp>
                <xdr:nvGrpSpPr>
                  <xdr:cNvPr id="3246" name="Group 3245">
                    <a:extLst>
                      <a:ext uri="{FF2B5EF4-FFF2-40B4-BE49-F238E27FC236}">
                        <a16:creationId xmlns:a16="http://schemas.microsoft.com/office/drawing/2014/main" id="{00000000-0008-0000-0200-0000AE0C0000}"/>
                      </a:ext>
                    </a:extLst>
                  </xdr:cNvPr>
                  <xdr:cNvGrpSpPr/>
                </xdr:nvGrpSpPr>
                <xdr:grpSpPr>
                  <a:xfrm>
                    <a:off x="8514791" y="5463807"/>
                    <a:ext cx="1701696" cy="1575168"/>
                    <a:chOff x="8474036" y="5863857"/>
                    <a:chExt cx="1598400" cy="1216422"/>
                  </a:xfrm>
                </xdr:grpSpPr>
                <xdr:sp macro="" textlink="Pivot_tables!BK5">
                  <xdr:nvSpPr>
                    <xdr:cNvPr id="3248" name="TextBox 3247">
                      <a:extLst>
                        <a:ext uri="{FF2B5EF4-FFF2-40B4-BE49-F238E27FC236}">
                          <a16:creationId xmlns:a16="http://schemas.microsoft.com/office/drawing/2014/main" id="{00000000-0008-0000-0200-0000B00C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294D1A-3F22-4763-8F26-7EB66F58D604}" type="TxLink">
                        <a:rPr lang="en-US" sz="1400" b="0" i="0" u="none" strike="noStrike">
                          <a:ln>
                            <a:noFill/>
                          </a:ln>
                          <a:solidFill>
                            <a:srgbClr val="D43260"/>
                          </a:solidFill>
                          <a:latin typeface="Avenir Next LT Pro"/>
                        </a:rPr>
                        <a:pPr algn="l"/>
                        <a:t>Order Priority</a:t>
                      </a:fld>
                      <a:endParaRPr lang="en-US" sz="1800" b="0" i="0" u="none" strike="noStrike">
                        <a:ln>
                          <a:noFill/>
                        </a:ln>
                        <a:solidFill>
                          <a:srgbClr val="D43260"/>
                        </a:solidFill>
                        <a:latin typeface="Avenir Next LT Pro"/>
                      </a:endParaRPr>
                    </a:p>
                  </xdr:txBody>
                </xdr:sp>
                <xdr:grpSp>
                  <xdr:nvGrpSpPr>
                    <xdr:cNvPr id="3249" name="Group 3248">
                      <a:extLst>
                        <a:ext uri="{FF2B5EF4-FFF2-40B4-BE49-F238E27FC236}">
                          <a16:creationId xmlns:a16="http://schemas.microsoft.com/office/drawing/2014/main" id="{00000000-0008-0000-0200-0000B10C0000}"/>
                        </a:ext>
                      </a:extLst>
                    </xdr:cNvPr>
                    <xdr:cNvGrpSpPr/>
                  </xdr:nvGrpSpPr>
                  <xdr:grpSpPr>
                    <a:xfrm>
                      <a:off x="8474036" y="6216281"/>
                      <a:ext cx="1597789" cy="863998"/>
                      <a:chOff x="8991825" y="6240787"/>
                      <a:chExt cx="1080000" cy="863998"/>
                    </a:xfrm>
                  </xdr:grpSpPr>
                  <xdr:sp macro="" textlink="Pivot_tables!BK6">
                    <xdr:nvSpPr>
                      <xdr:cNvPr id="3250" name="TextBox 3249">
                        <a:extLst>
                          <a:ext uri="{FF2B5EF4-FFF2-40B4-BE49-F238E27FC236}">
                            <a16:creationId xmlns:a16="http://schemas.microsoft.com/office/drawing/2014/main" id="{00000000-0008-0000-0200-0000B20C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366D323-50F7-463E-8AA0-6374CD81D029}" type="TxLink">
                          <a:rPr lang="en-US" sz="1100" b="0" i="0" u="none" strike="noStrike">
                            <a:ln>
                              <a:noFill/>
                            </a:ln>
                            <a:solidFill>
                              <a:schemeClr val="bg1"/>
                            </a:solidFill>
                            <a:latin typeface="Avenir Next LT Pro"/>
                          </a:rPr>
                          <a:pPr algn="l"/>
                          <a:t>Low</a:t>
                        </a:fld>
                        <a:endParaRPr lang="en-US" sz="1200" b="0" i="0" u="none" strike="noStrike">
                          <a:ln>
                            <a:noFill/>
                          </a:ln>
                          <a:solidFill>
                            <a:schemeClr val="bg1"/>
                          </a:solidFill>
                          <a:latin typeface="Avenir Next LT Pro"/>
                        </a:endParaRPr>
                      </a:p>
                    </xdr:txBody>
                  </xdr:sp>
                  <xdr:sp macro="" textlink="Pivot_tables!BK7">
                    <xdr:nvSpPr>
                      <xdr:cNvPr id="3251" name="TextBox 3250">
                        <a:extLst>
                          <a:ext uri="{FF2B5EF4-FFF2-40B4-BE49-F238E27FC236}">
                            <a16:creationId xmlns:a16="http://schemas.microsoft.com/office/drawing/2014/main" id="{00000000-0008-0000-0200-0000B30C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309B01-AF73-4C5C-B555-12DCDD0C6901}" type="TxLink">
                          <a:rPr lang="en-US" sz="1100" b="0" i="0" u="none" strike="noStrike">
                            <a:ln>
                              <a:noFill/>
                            </a:ln>
                            <a:solidFill>
                              <a:schemeClr val="bg1"/>
                            </a:solidFill>
                            <a:latin typeface="Avenir Next LT Pro"/>
                          </a:rPr>
                          <a:pPr algn="l"/>
                          <a:t>Medium</a:t>
                        </a:fld>
                        <a:endParaRPr lang="en-US" sz="1200" b="0" i="0" u="none" strike="noStrike">
                          <a:ln>
                            <a:noFill/>
                          </a:ln>
                          <a:solidFill>
                            <a:schemeClr val="bg1"/>
                          </a:solidFill>
                          <a:latin typeface="Avenir Next LT Pro"/>
                        </a:endParaRPr>
                      </a:p>
                    </xdr:txBody>
                  </xdr:sp>
                  <xdr:sp macro="" textlink="Pivot_tables!BK8">
                    <xdr:nvSpPr>
                      <xdr:cNvPr id="3252" name="TextBox 3251">
                        <a:extLst>
                          <a:ext uri="{FF2B5EF4-FFF2-40B4-BE49-F238E27FC236}">
                            <a16:creationId xmlns:a16="http://schemas.microsoft.com/office/drawing/2014/main" id="{00000000-0008-0000-0200-0000B40C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93D631-D369-4B3B-8E82-C5E2D148EFFE}" type="TxLink">
                          <a:rPr lang="en-US" sz="1100" b="0" i="0" u="none" strike="noStrike">
                            <a:ln>
                              <a:noFill/>
                            </a:ln>
                            <a:solidFill>
                              <a:schemeClr val="bg1"/>
                            </a:solidFill>
                            <a:latin typeface="Avenir Next LT Pro"/>
                          </a:rPr>
                          <a:pPr algn="l"/>
                          <a:t>High</a:t>
                        </a:fld>
                        <a:endParaRPr lang="en-US" sz="1200" b="0" i="0" u="none" strike="noStrike">
                          <a:ln>
                            <a:noFill/>
                          </a:ln>
                          <a:solidFill>
                            <a:schemeClr val="bg1"/>
                          </a:solidFill>
                          <a:latin typeface="Avenir Next LT Pro"/>
                        </a:endParaRPr>
                      </a:p>
                    </xdr:txBody>
                  </xdr:sp>
                  <xdr:sp macro="" textlink="Pivot_tables!BK9">
                    <xdr:nvSpPr>
                      <xdr:cNvPr id="3253" name="TextBox 3252">
                        <a:extLst>
                          <a:ext uri="{FF2B5EF4-FFF2-40B4-BE49-F238E27FC236}">
                            <a16:creationId xmlns:a16="http://schemas.microsoft.com/office/drawing/2014/main" id="{00000000-0008-0000-0200-0000B50C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3AD9CB-F5EA-470C-B15C-2DB9C07F5744}" type="TxLink">
                          <a:rPr lang="en-US" sz="1100" b="0" i="0" u="none" strike="noStrike">
                            <a:ln>
                              <a:noFill/>
                            </a:ln>
                            <a:solidFill>
                              <a:schemeClr val="bg1"/>
                            </a:solidFill>
                            <a:latin typeface="Avenir Next LT Pro"/>
                          </a:rPr>
                          <a:pPr algn="l"/>
                          <a:t>Critical</a:t>
                        </a:fld>
                        <a:endParaRPr lang="en-US" sz="1200" b="0" i="0" u="none" strike="noStrike">
                          <a:ln>
                            <a:noFill/>
                          </a:ln>
                          <a:solidFill>
                            <a:schemeClr val="bg1"/>
                          </a:solidFill>
                          <a:latin typeface="Avenir Next LT Pro"/>
                        </a:endParaRPr>
                      </a:p>
                    </xdr:txBody>
                  </xdr:sp>
                </xdr:grpSp>
              </xdr:grpSp>
              <xdr:sp macro="" textlink="Pivot_tables!BK10">
                <xdr:nvSpPr>
                  <xdr:cNvPr id="3247" name="TextBox 3246">
                    <a:extLst>
                      <a:ext uri="{FF2B5EF4-FFF2-40B4-BE49-F238E27FC236}">
                        <a16:creationId xmlns:a16="http://schemas.microsoft.com/office/drawing/2014/main" id="{00000000-0008-0000-0200-0000AF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69F401D-611B-42A5-83E8-F6BD33C75B9E}" type="TxLink">
                      <a:rPr lang="en-US" sz="1100" b="0" i="0" u="none" strike="noStrike">
                        <a:ln>
                          <a:noFill/>
                        </a:ln>
                        <a:solidFill>
                          <a:schemeClr val="bg1"/>
                        </a:solidFill>
                        <a:latin typeface="Avenir Next LT Pro"/>
                      </a:rPr>
                      <a:pPr algn="l"/>
                      <a:t>N/A</a:t>
                    </a:fld>
                    <a:endParaRPr lang="en-US" sz="1100" b="0" i="0" u="none" strike="noStrike">
                      <a:ln>
                        <a:noFill/>
                      </a:ln>
                      <a:solidFill>
                        <a:schemeClr val="bg1"/>
                      </a:solidFill>
                      <a:latin typeface="Avenir Next LT Pro"/>
                    </a:endParaRPr>
                  </a:p>
                </xdr:txBody>
              </xdr:sp>
            </xdr:grpSp>
            <xdr:grpSp>
              <xdr:nvGrpSpPr>
                <xdr:cNvPr id="3214" name="Group 3213">
                  <a:extLst>
                    <a:ext uri="{FF2B5EF4-FFF2-40B4-BE49-F238E27FC236}">
                      <a16:creationId xmlns:a16="http://schemas.microsoft.com/office/drawing/2014/main" id="{00000000-0008-0000-0200-00008E0C0000}"/>
                    </a:ext>
                  </a:extLst>
                </xdr:cNvPr>
                <xdr:cNvGrpSpPr/>
              </xdr:nvGrpSpPr>
              <xdr:grpSpPr>
                <a:xfrm>
                  <a:off x="10029493" y="5494387"/>
                  <a:ext cx="1112993" cy="1622793"/>
                  <a:chOff x="7402023" y="5463807"/>
                  <a:chExt cx="1112993" cy="1854870"/>
                </a:xfrm>
              </xdr:grpSpPr>
              <xdr:grpSp>
                <xdr:nvGrpSpPr>
                  <xdr:cNvPr id="3234" name="Group 3233">
                    <a:extLst>
                      <a:ext uri="{FF2B5EF4-FFF2-40B4-BE49-F238E27FC236}">
                        <a16:creationId xmlns:a16="http://schemas.microsoft.com/office/drawing/2014/main" id="{00000000-0008-0000-0200-0000A20C0000}"/>
                      </a:ext>
                    </a:extLst>
                  </xdr:cNvPr>
                  <xdr:cNvGrpSpPr/>
                </xdr:nvGrpSpPr>
                <xdr:grpSpPr>
                  <a:xfrm>
                    <a:off x="7402023" y="5463807"/>
                    <a:ext cx="1112768" cy="1575168"/>
                    <a:chOff x="7408843" y="5863857"/>
                    <a:chExt cx="1065600" cy="1216422"/>
                  </a:xfrm>
                </xdr:grpSpPr>
                <xdr:sp macro="" textlink="Pivot_tables!BL5">
                  <xdr:nvSpPr>
                    <xdr:cNvPr id="3236" name="TextBox 3235">
                      <a:extLst>
                        <a:ext uri="{FF2B5EF4-FFF2-40B4-BE49-F238E27FC236}">
                          <a16:creationId xmlns:a16="http://schemas.microsoft.com/office/drawing/2014/main" id="{00000000-0008-0000-0200-0000A40C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3252D1-418A-492B-93C6-00785D668FD3}" type="TxLink">
                        <a:rPr lang="en-US" sz="1400" b="0" i="0" u="none" strike="noStrike">
                          <a:ln>
                            <a:noFill/>
                          </a:ln>
                          <a:solidFill>
                            <a:srgbClr val="D43260"/>
                          </a:solidFill>
                          <a:latin typeface="Avenir Next LT Pro"/>
                        </a:rPr>
                        <a:pPr algn="ctr"/>
                        <a:t>Profit</a:t>
                      </a:fld>
                      <a:endParaRPr lang="en-US" sz="1800" b="0" i="0" u="none" strike="noStrike">
                        <a:ln>
                          <a:noFill/>
                        </a:ln>
                        <a:solidFill>
                          <a:srgbClr val="D43260"/>
                        </a:solidFill>
                        <a:latin typeface="Avenir Next LT Pro"/>
                      </a:endParaRPr>
                    </a:p>
                  </xdr:txBody>
                </xdr:sp>
                <xdr:grpSp>
                  <xdr:nvGrpSpPr>
                    <xdr:cNvPr id="3237" name="Group 3236">
                      <a:extLst>
                        <a:ext uri="{FF2B5EF4-FFF2-40B4-BE49-F238E27FC236}">
                          <a16:creationId xmlns:a16="http://schemas.microsoft.com/office/drawing/2014/main" id="{00000000-0008-0000-0200-0000A50C0000}"/>
                        </a:ext>
                      </a:extLst>
                    </xdr:cNvPr>
                    <xdr:cNvGrpSpPr/>
                  </xdr:nvGrpSpPr>
                  <xdr:grpSpPr>
                    <a:xfrm>
                      <a:off x="7408843" y="6216281"/>
                      <a:ext cx="1065193" cy="863998"/>
                      <a:chOff x="8001224" y="6240787"/>
                      <a:chExt cx="720000" cy="863998"/>
                    </a:xfrm>
                  </xdr:grpSpPr>
                  <xdr:sp macro="" textlink="Pivot_tables!BL6">
                    <xdr:nvSpPr>
                      <xdr:cNvPr id="3238" name="TextBox 3237">
                        <a:extLst>
                          <a:ext uri="{FF2B5EF4-FFF2-40B4-BE49-F238E27FC236}">
                            <a16:creationId xmlns:a16="http://schemas.microsoft.com/office/drawing/2014/main" id="{00000000-0008-0000-0200-0000A60C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2AA8B0-6397-43CC-A275-03161A32E01F}" type="TxLink">
                          <a:rPr lang="en-US" sz="1100" b="0" i="0" u="none" strike="noStrike">
                            <a:ln>
                              <a:noFill/>
                            </a:ln>
                            <a:solidFill>
                              <a:schemeClr val="bg1"/>
                            </a:solidFill>
                            <a:latin typeface="Avenir Next LT Pro"/>
                          </a:rPr>
                          <a:pPr algn="ctr"/>
                          <a:t>$34,079</a:t>
                        </a:fld>
                        <a:endParaRPr lang="en-US" sz="1200" b="0" i="0" u="none" strike="noStrike">
                          <a:ln>
                            <a:noFill/>
                          </a:ln>
                          <a:solidFill>
                            <a:schemeClr val="bg1"/>
                          </a:solidFill>
                          <a:latin typeface="Avenir Next LT Pro"/>
                        </a:endParaRPr>
                      </a:p>
                    </xdr:txBody>
                  </xdr:sp>
                  <xdr:sp macro="" textlink="Pivot_tables!BL7">
                    <xdr:nvSpPr>
                      <xdr:cNvPr id="3243" name="TextBox 3242">
                        <a:extLst>
                          <a:ext uri="{FF2B5EF4-FFF2-40B4-BE49-F238E27FC236}">
                            <a16:creationId xmlns:a16="http://schemas.microsoft.com/office/drawing/2014/main" id="{00000000-0008-0000-0200-0000AB0C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AEA416-D9F5-4A54-BDF7-137225499BA3}" type="TxLink">
                          <a:rPr lang="en-US" sz="1100" b="0" i="0" u="none" strike="noStrike">
                            <a:ln>
                              <a:noFill/>
                            </a:ln>
                            <a:solidFill>
                              <a:schemeClr val="bg1"/>
                            </a:solidFill>
                            <a:latin typeface="Avenir Next LT Pro"/>
                          </a:rPr>
                          <a:pPr algn="ctr"/>
                          <a:t>$42,580</a:t>
                        </a:fld>
                        <a:endParaRPr lang="en-US" sz="1200" b="0" i="0" u="none" strike="noStrike">
                          <a:ln>
                            <a:noFill/>
                          </a:ln>
                          <a:solidFill>
                            <a:schemeClr val="bg1"/>
                          </a:solidFill>
                          <a:latin typeface="Avenir Next LT Pro"/>
                        </a:endParaRPr>
                      </a:p>
                    </xdr:txBody>
                  </xdr:sp>
                  <xdr:sp macro="" textlink="Pivot_tables!BL8">
                    <xdr:nvSpPr>
                      <xdr:cNvPr id="3244" name="TextBox 3243">
                        <a:extLst>
                          <a:ext uri="{FF2B5EF4-FFF2-40B4-BE49-F238E27FC236}">
                            <a16:creationId xmlns:a16="http://schemas.microsoft.com/office/drawing/2014/main" id="{00000000-0008-0000-0200-0000AC0C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139D21-473D-461E-8A5D-2BBD25C1019F}" type="TxLink">
                          <a:rPr lang="en-US" sz="1100" b="0" i="0" u="none" strike="noStrike">
                            <a:ln>
                              <a:noFill/>
                            </a:ln>
                            <a:solidFill>
                              <a:schemeClr val="bg1"/>
                            </a:solidFill>
                            <a:latin typeface="Avenir Next LT Pro"/>
                          </a:rPr>
                          <a:pPr algn="ctr"/>
                          <a:t>$35,793</a:t>
                        </a:fld>
                        <a:endParaRPr lang="en-US" sz="1200" b="0" i="0" u="none" strike="noStrike">
                          <a:ln>
                            <a:noFill/>
                          </a:ln>
                          <a:solidFill>
                            <a:schemeClr val="bg1"/>
                          </a:solidFill>
                          <a:latin typeface="Avenir Next LT Pro"/>
                        </a:endParaRPr>
                      </a:p>
                    </xdr:txBody>
                  </xdr:sp>
                  <xdr:sp macro="" textlink="Pivot_tables!BL9">
                    <xdr:nvSpPr>
                      <xdr:cNvPr id="3245" name="TextBox 3244">
                        <a:extLst>
                          <a:ext uri="{FF2B5EF4-FFF2-40B4-BE49-F238E27FC236}">
                            <a16:creationId xmlns:a16="http://schemas.microsoft.com/office/drawing/2014/main" id="{00000000-0008-0000-0200-0000AD0C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8B68B4-BB13-4546-91D5-C058D38FE281}" type="TxLink">
                          <a:rPr lang="en-US" sz="1100" b="0" i="0" u="none" strike="noStrike">
                            <a:ln>
                              <a:noFill/>
                            </a:ln>
                            <a:solidFill>
                              <a:schemeClr val="bg1"/>
                            </a:solidFill>
                            <a:latin typeface="Avenir Next LT Pro"/>
                          </a:rPr>
                          <a:pPr algn="ctr"/>
                          <a:t>$35,087</a:t>
                        </a:fld>
                        <a:endParaRPr lang="en-US" sz="1200" b="0" i="0" u="none" strike="noStrike">
                          <a:ln>
                            <a:noFill/>
                          </a:ln>
                          <a:solidFill>
                            <a:schemeClr val="bg1"/>
                          </a:solidFill>
                          <a:latin typeface="Avenir Next LT Pro"/>
                        </a:endParaRPr>
                      </a:p>
                    </xdr:txBody>
                  </xdr:sp>
                </xdr:grpSp>
              </xdr:grpSp>
              <xdr:sp macro="" textlink="Pivot_tables!BL10">
                <xdr:nvSpPr>
                  <xdr:cNvPr id="3235" name="TextBox 3234">
                    <a:extLst>
                      <a:ext uri="{FF2B5EF4-FFF2-40B4-BE49-F238E27FC236}">
                        <a16:creationId xmlns:a16="http://schemas.microsoft.com/office/drawing/2014/main" id="{00000000-0008-0000-0200-0000A3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4E72B9-DB32-44D6-B13B-848FF26A6B96}" type="TxLink">
                      <a:rPr lang="en-US" sz="1100" b="0" i="0" u="none" strike="noStrike">
                        <a:ln>
                          <a:noFill/>
                        </a:ln>
                        <a:solidFill>
                          <a:schemeClr val="bg1"/>
                        </a:solidFill>
                        <a:latin typeface="Avenir Next LT Pro"/>
                      </a:rPr>
                      <a:pPr algn="ctr"/>
                      <a:t>$67,485</a:t>
                    </a:fld>
                    <a:endParaRPr lang="en-US" b="0" i="0" u="none" strike="noStrike">
                      <a:ln>
                        <a:noFill/>
                      </a:ln>
                      <a:solidFill>
                        <a:schemeClr val="bg1"/>
                      </a:solidFill>
                      <a:latin typeface="Avenir Next LT Pro"/>
                    </a:endParaRPr>
                  </a:p>
                </xdr:txBody>
              </xdr:sp>
            </xdr:grpSp>
            <xdr:grpSp>
              <xdr:nvGrpSpPr>
                <xdr:cNvPr id="3215" name="Group 3214">
                  <a:extLst>
                    <a:ext uri="{FF2B5EF4-FFF2-40B4-BE49-F238E27FC236}">
                      <a16:creationId xmlns:a16="http://schemas.microsoft.com/office/drawing/2014/main" id="{00000000-0008-0000-0200-00008F0C0000}"/>
                    </a:ext>
                  </a:extLst>
                </xdr:cNvPr>
                <xdr:cNvGrpSpPr/>
              </xdr:nvGrpSpPr>
              <xdr:grpSpPr>
                <a:xfrm>
                  <a:off x="11140962" y="5494387"/>
                  <a:ext cx="1113418" cy="1622793"/>
                  <a:chOff x="6289255" y="5463807"/>
                  <a:chExt cx="1113418" cy="1854870"/>
                </a:xfrm>
              </xdr:grpSpPr>
              <xdr:grpSp>
                <xdr:nvGrpSpPr>
                  <xdr:cNvPr id="3226" name="Group 3225">
                    <a:extLst>
                      <a:ext uri="{FF2B5EF4-FFF2-40B4-BE49-F238E27FC236}">
                        <a16:creationId xmlns:a16="http://schemas.microsoft.com/office/drawing/2014/main" id="{00000000-0008-0000-0200-00009A0C0000}"/>
                      </a:ext>
                    </a:extLst>
                  </xdr:cNvPr>
                  <xdr:cNvGrpSpPr/>
                </xdr:nvGrpSpPr>
                <xdr:grpSpPr>
                  <a:xfrm>
                    <a:off x="6289255" y="5463807"/>
                    <a:ext cx="1112768" cy="1575168"/>
                    <a:chOff x="6343650" y="5863857"/>
                    <a:chExt cx="1065600" cy="1216422"/>
                  </a:xfrm>
                </xdr:grpSpPr>
                <xdr:sp macro="" textlink="Pivot_tables!BQ5">
                  <xdr:nvSpPr>
                    <xdr:cNvPr id="3228" name="TextBox 3227">
                      <a:extLst>
                        <a:ext uri="{FF2B5EF4-FFF2-40B4-BE49-F238E27FC236}">
                          <a16:creationId xmlns:a16="http://schemas.microsoft.com/office/drawing/2014/main" id="{00000000-0008-0000-0200-00009C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E646A4-E871-4ECB-AA91-DE7A516DE73D}"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3229" name="Group 3228">
                      <a:extLst>
                        <a:ext uri="{FF2B5EF4-FFF2-40B4-BE49-F238E27FC236}">
                          <a16:creationId xmlns:a16="http://schemas.microsoft.com/office/drawing/2014/main" id="{00000000-0008-0000-0200-00009D0C0000}"/>
                        </a:ext>
                      </a:extLst>
                    </xdr:cNvPr>
                    <xdr:cNvGrpSpPr/>
                  </xdr:nvGrpSpPr>
                  <xdr:grpSpPr>
                    <a:xfrm>
                      <a:off x="6344057" y="6216281"/>
                      <a:ext cx="1065193" cy="863998"/>
                      <a:chOff x="7018125" y="6240787"/>
                      <a:chExt cx="720000" cy="863998"/>
                    </a:xfrm>
                  </xdr:grpSpPr>
                  <xdr:sp macro="" textlink="Pivot_tables!BQ6">
                    <xdr:nvSpPr>
                      <xdr:cNvPr id="3230" name="TextBox 3229">
                        <a:extLst>
                          <a:ext uri="{FF2B5EF4-FFF2-40B4-BE49-F238E27FC236}">
                            <a16:creationId xmlns:a16="http://schemas.microsoft.com/office/drawing/2014/main" id="{00000000-0008-0000-0200-00009E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08506B-C7C9-4193-B0D2-7AAB286250F7}" type="TxLink">
                          <a:rPr lang="en-US" sz="1100" b="0" i="0" u="none" strike="noStrike">
                            <a:ln>
                              <a:noFill/>
                            </a:ln>
                            <a:solidFill>
                              <a:schemeClr val="bg1"/>
                            </a:solidFill>
                            <a:latin typeface="Avenir Next LT Pro"/>
                          </a:rPr>
                          <a:pPr algn="ctr"/>
                          <a:t> 278 </a:t>
                        </a:fld>
                        <a:endParaRPr lang="en-US" sz="1200" b="0" i="0" u="none" strike="noStrike">
                          <a:ln>
                            <a:noFill/>
                          </a:ln>
                          <a:solidFill>
                            <a:schemeClr val="bg1"/>
                          </a:solidFill>
                          <a:latin typeface="Avenir Next LT Pro"/>
                        </a:endParaRPr>
                      </a:p>
                    </xdr:txBody>
                  </xdr:sp>
                  <xdr:sp macro="" textlink="Pivot_tables!BQ7">
                    <xdr:nvSpPr>
                      <xdr:cNvPr id="3231" name="TextBox 3230">
                        <a:extLst>
                          <a:ext uri="{FF2B5EF4-FFF2-40B4-BE49-F238E27FC236}">
                            <a16:creationId xmlns:a16="http://schemas.microsoft.com/office/drawing/2014/main" id="{00000000-0008-0000-0200-00009F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E0AD82-E204-411A-B25D-18538A2D685A}" type="TxLink">
                          <a:rPr lang="en-US" sz="1100" b="0" i="0" u="none" strike="noStrike">
                            <a:ln>
                              <a:noFill/>
                            </a:ln>
                            <a:solidFill>
                              <a:schemeClr val="bg1"/>
                            </a:solidFill>
                            <a:latin typeface="Avenir Next LT Pro"/>
                          </a:rPr>
                          <a:pPr algn="ctr"/>
                          <a:t> 263 </a:t>
                        </a:fld>
                        <a:endParaRPr lang="en-US" sz="1200" b="0" i="0" u="none" strike="noStrike">
                          <a:ln>
                            <a:noFill/>
                          </a:ln>
                          <a:solidFill>
                            <a:schemeClr val="bg1"/>
                          </a:solidFill>
                          <a:latin typeface="Avenir Next LT Pro"/>
                        </a:endParaRPr>
                      </a:p>
                    </xdr:txBody>
                  </xdr:sp>
                  <xdr:sp macro="" textlink="Pivot_tables!BQ8">
                    <xdr:nvSpPr>
                      <xdr:cNvPr id="3232" name="TextBox 3231">
                        <a:extLst>
                          <a:ext uri="{FF2B5EF4-FFF2-40B4-BE49-F238E27FC236}">
                            <a16:creationId xmlns:a16="http://schemas.microsoft.com/office/drawing/2014/main" id="{00000000-0008-0000-0200-0000A0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E43CB0-8F72-4B98-86BA-3B1BF138D761}" type="TxLink">
                          <a:rPr lang="en-US" sz="1100" b="0" i="0" u="none" strike="noStrike">
                            <a:ln>
                              <a:noFill/>
                            </a:ln>
                            <a:solidFill>
                              <a:schemeClr val="bg1"/>
                            </a:solidFill>
                            <a:latin typeface="Avenir Next LT Pro"/>
                          </a:rPr>
                          <a:pPr algn="ctr"/>
                          <a:t> 268 </a:t>
                        </a:fld>
                        <a:endParaRPr lang="en-US" sz="1200" b="0" i="0" u="none" strike="noStrike">
                          <a:ln>
                            <a:noFill/>
                          </a:ln>
                          <a:solidFill>
                            <a:schemeClr val="bg1"/>
                          </a:solidFill>
                          <a:latin typeface="Avenir Next LT Pro"/>
                        </a:endParaRPr>
                      </a:p>
                    </xdr:txBody>
                  </xdr:sp>
                  <xdr:sp macro="" textlink="Pivot_tables!BQ9">
                    <xdr:nvSpPr>
                      <xdr:cNvPr id="3233" name="TextBox 3232">
                        <a:extLst>
                          <a:ext uri="{FF2B5EF4-FFF2-40B4-BE49-F238E27FC236}">
                            <a16:creationId xmlns:a16="http://schemas.microsoft.com/office/drawing/2014/main" id="{00000000-0008-0000-0200-0000A1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CEA798-F60A-4451-B95D-9A4D2CE7DEA2}" type="TxLink">
                          <a:rPr lang="en-US" sz="1100" b="0" i="0" u="none" strike="noStrike">
                            <a:ln>
                              <a:noFill/>
                            </a:ln>
                            <a:solidFill>
                              <a:schemeClr val="bg1"/>
                            </a:solidFill>
                            <a:latin typeface="Avenir Next LT Pro"/>
                          </a:rPr>
                          <a:pPr algn="ctr"/>
                          <a:t> 275 </a:t>
                        </a:fld>
                        <a:endParaRPr lang="en-US" sz="1200" b="0" i="0" u="none" strike="noStrike">
                          <a:ln>
                            <a:noFill/>
                          </a:ln>
                          <a:solidFill>
                            <a:schemeClr val="bg1"/>
                          </a:solidFill>
                          <a:latin typeface="Avenir Next LT Pro"/>
                        </a:endParaRPr>
                      </a:p>
                    </xdr:txBody>
                  </xdr:sp>
                </xdr:grpSp>
              </xdr:grpSp>
              <xdr:sp macro="" textlink="Pivot_tables!BQ10">
                <xdr:nvSpPr>
                  <xdr:cNvPr id="3227" name="TextBox 3226">
                    <a:extLst>
                      <a:ext uri="{FF2B5EF4-FFF2-40B4-BE49-F238E27FC236}">
                        <a16:creationId xmlns:a16="http://schemas.microsoft.com/office/drawing/2014/main" id="{00000000-0008-0000-0200-00009B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703625-A913-43D4-AA5A-8FDD1E2DB7A6}" type="TxLink">
                      <a:rPr lang="en-US" sz="1100" b="0" i="0" u="none" strike="noStrike">
                        <a:ln>
                          <a:noFill/>
                        </a:ln>
                        <a:solidFill>
                          <a:schemeClr val="bg1"/>
                        </a:solidFill>
                        <a:latin typeface="Avenir Next LT Pro"/>
                      </a:rPr>
                      <a:pPr algn="ctr"/>
                      <a:t> 277 </a:t>
                    </a:fld>
                    <a:endParaRPr lang="en-US" sz="1100" b="0" i="0" u="none" strike="noStrike">
                      <a:ln>
                        <a:noFill/>
                      </a:ln>
                      <a:solidFill>
                        <a:schemeClr val="bg1"/>
                      </a:solidFill>
                      <a:latin typeface="Avenir Next LT Pro"/>
                    </a:endParaRPr>
                  </a:p>
                </xdr:txBody>
              </xdr:sp>
            </xdr:grpSp>
            <xdr:grpSp>
              <xdr:nvGrpSpPr>
                <xdr:cNvPr id="3216" name="Group 3215">
                  <a:extLst>
                    <a:ext uri="{FF2B5EF4-FFF2-40B4-BE49-F238E27FC236}">
                      <a16:creationId xmlns:a16="http://schemas.microsoft.com/office/drawing/2014/main" id="{00000000-0008-0000-0200-0000900C0000}"/>
                    </a:ext>
                  </a:extLst>
                </xdr:cNvPr>
                <xdr:cNvGrpSpPr/>
              </xdr:nvGrpSpPr>
              <xdr:grpSpPr>
                <a:xfrm>
                  <a:off x="12254380" y="5494387"/>
                  <a:ext cx="1113418" cy="1622793"/>
                  <a:chOff x="5176487" y="5463807"/>
                  <a:chExt cx="1113418" cy="1854870"/>
                </a:xfrm>
              </xdr:grpSpPr>
              <xdr:grpSp>
                <xdr:nvGrpSpPr>
                  <xdr:cNvPr id="3217" name="Group 3216">
                    <a:extLst>
                      <a:ext uri="{FF2B5EF4-FFF2-40B4-BE49-F238E27FC236}">
                        <a16:creationId xmlns:a16="http://schemas.microsoft.com/office/drawing/2014/main" id="{00000000-0008-0000-0200-0000910C0000}"/>
                      </a:ext>
                    </a:extLst>
                  </xdr:cNvPr>
                  <xdr:cNvGrpSpPr/>
                </xdr:nvGrpSpPr>
                <xdr:grpSpPr>
                  <a:xfrm>
                    <a:off x="5176487" y="5463807"/>
                    <a:ext cx="1112768" cy="1575168"/>
                    <a:chOff x="6343650" y="5863857"/>
                    <a:chExt cx="1065600" cy="1216422"/>
                  </a:xfrm>
                </xdr:grpSpPr>
                <xdr:sp macro="" textlink="">
                  <xdr:nvSpPr>
                    <xdr:cNvPr id="3220" name="TextBox 3219">
                      <a:extLst>
                        <a:ext uri="{FF2B5EF4-FFF2-40B4-BE49-F238E27FC236}">
                          <a16:creationId xmlns:a16="http://schemas.microsoft.com/office/drawing/2014/main" id="{00000000-0008-0000-0200-000094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221" name="Group 3220">
                      <a:extLst>
                        <a:ext uri="{FF2B5EF4-FFF2-40B4-BE49-F238E27FC236}">
                          <a16:creationId xmlns:a16="http://schemas.microsoft.com/office/drawing/2014/main" id="{00000000-0008-0000-0200-0000950C0000}"/>
                        </a:ext>
                      </a:extLst>
                    </xdr:cNvPr>
                    <xdr:cNvGrpSpPr/>
                  </xdr:nvGrpSpPr>
                  <xdr:grpSpPr>
                    <a:xfrm>
                      <a:off x="6344057" y="6216281"/>
                      <a:ext cx="1065193" cy="863998"/>
                      <a:chOff x="7018125" y="6240787"/>
                      <a:chExt cx="720000" cy="863998"/>
                    </a:xfrm>
                  </xdr:grpSpPr>
                  <xdr:sp macro="" textlink="">
                    <xdr:nvSpPr>
                      <xdr:cNvPr id="3222" name="TextBox 3221">
                        <a:extLst>
                          <a:ext uri="{FF2B5EF4-FFF2-40B4-BE49-F238E27FC236}">
                            <a16:creationId xmlns:a16="http://schemas.microsoft.com/office/drawing/2014/main" id="{00000000-0008-0000-0200-000096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3" name="TextBox 3222">
                        <a:extLst>
                          <a:ext uri="{FF2B5EF4-FFF2-40B4-BE49-F238E27FC236}">
                            <a16:creationId xmlns:a16="http://schemas.microsoft.com/office/drawing/2014/main" id="{00000000-0008-0000-0200-000097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4" name="TextBox 3223">
                        <a:extLst>
                          <a:ext uri="{FF2B5EF4-FFF2-40B4-BE49-F238E27FC236}">
                            <a16:creationId xmlns:a16="http://schemas.microsoft.com/office/drawing/2014/main" id="{00000000-0008-0000-0200-000098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5" name="TextBox 3224">
                        <a:extLst>
                          <a:ext uri="{FF2B5EF4-FFF2-40B4-BE49-F238E27FC236}">
                            <a16:creationId xmlns:a16="http://schemas.microsoft.com/office/drawing/2014/main" id="{00000000-0008-0000-0200-000099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218" name="TextBox 3217">
                    <a:extLst>
                      <a:ext uri="{FF2B5EF4-FFF2-40B4-BE49-F238E27FC236}">
                        <a16:creationId xmlns:a16="http://schemas.microsoft.com/office/drawing/2014/main" id="{00000000-0008-0000-0200-000092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BK4">
          <xdr:nvSpPr>
            <xdr:cNvPr id="3" name="TextBox 2">
              <a:extLst>
                <a:ext uri="{FF2B5EF4-FFF2-40B4-BE49-F238E27FC236}">
                  <a16:creationId xmlns:a16="http://schemas.microsoft.com/office/drawing/2014/main" id="{00000000-0008-0000-0200-000003000000}"/>
                </a:ext>
              </a:extLst>
            </xdr:cNvPr>
            <xdr:cNvSpPr txBox="1"/>
          </xdr:nvSpPr>
          <xdr:spPr>
            <a:xfrm>
              <a:off x="9596473" y="2000250"/>
              <a:ext cx="376200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9F1E83-9AA8-4335-BEDB-E5E05FDA6407}"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Profit of $215023 Over Order Priority,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56" name="Group 55">
            <a:extLst>
              <a:ext uri="{FF2B5EF4-FFF2-40B4-BE49-F238E27FC236}">
                <a16:creationId xmlns:a16="http://schemas.microsoft.com/office/drawing/2014/main" id="{00000000-0008-0000-0200-000038000000}"/>
              </a:ext>
            </a:extLst>
          </xdr:cNvPr>
          <xdr:cNvGrpSpPr/>
        </xdr:nvGrpSpPr>
        <xdr:grpSpPr>
          <a:xfrm>
            <a:off x="10891837" y="3133725"/>
            <a:ext cx="108000" cy="1089075"/>
            <a:chOff x="10739437" y="3133725"/>
            <a:chExt cx="108000" cy="1089075"/>
          </a:xfrm>
        </xdr:grpSpPr>
        <xdr:sp macro="" textlink="">
          <xdr:nvSpPr>
            <xdr:cNvPr id="45" name="Oval 44">
              <a:extLst>
                <a:ext uri="{FF2B5EF4-FFF2-40B4-BE49-F238E27FC236}">
                  <a16:creationId xmlns:a16="http://schemas.microsoft.com/office/drawing/2014/main" id="{00000000-0008-0000-0200-00002D000000}"/>
                </a:ext>
              </a:extLst>
            </xdr:cNvPr>
            <xdr:cNvSpPr/>
          </xdr:nvSpPr>
          <xdr:spPr>
            <a:xfrm>
              <a:off x="10739437"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6" name="Oval 45">
              <a:extLst>
                <a:ext uri="{FF2B5EF4-FFF2-40B4-BE49-F238E27FC236}">
                  <a16:creationId xmlns:a16="http://schemas.microsoft.com/office/drawing/2014/main" id="{00000000-0008-0000-0200-00002E000000}"/>
                </a:ext>
              </a:extLst>
            </xdr:cNvPr>
            <xdr:cNvSpPr/>
          </xdr:nvSpPr>
          <xdr:spPr>
            <a:xfrm>
              <a:off x="10739437" y="3381375"/>
              <a:ext cx="108000" cy="108000"/>
            </a:xfrm>
            <a:prstGeom prst="ellipse">
              <a:avLst/>
            </a:prstGeom>
            <a:solidFill>
              <a:srgbClr val="DC25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7" name="Oval 46">
              <a:extLst>
                <a:ext uri="{FF2B5EF4-FFF2-40B4-BE49-F238E27FC236}">
                  <a16:creationId xmlns:a16="http://schemas.microsoft.com/office/drawing/2014/main" id="{00000000-0008-0000-0200-00002F000000}"/>
                </a:ext>
              </a:extLst>
            </xdr:cNvPr>
            <xdr:cNvSpPr/>
          </xdr:nvSpPr>
          <xdr:spPr>
            <a:xfrm>
              <a:off x="10739437" y="362902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1" name="Oval 50">
              <a:extLst>
                <a:ext uri="{FF2B5EF4-FFF2-40B4-BE49-F238E27FC236}">
                  <a16:creationId xmlns:a16="http://schemas.microsoft.com/office/drawing/2014/main" id="{00000000-0008-0000-0200-000033000000}"/>
                </a:ext>
              </a:extLst>
            </xdr:cNvPr>
            <xdr:cNvSpPr/>
          </xdr:nvSpPr>
          <xdr:spPr>
            <a:xfrm>
              <a:off x="10739437" y="387667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5" name="Oval 54">
              <a:extLst>
                <a:ext uri="{FF2B5EF4-FFF2-40B4-BE49-F238E27FC236}">
                  <a16:creationId xmlns:a16="http://schemas.microsoft.com/office/drawing/2014/main" id="{00000000-0008-0000-0200-000037000000}"/>
                </a:ext>
              </a:extLst>
            </xdr:cNvPr>
            <xdr:cNvSpPr/>
          </xdr:nvSpPr>
          <xdr:spPr>
            <a:xfrm>
              <a:off x="10739437" y="4114800"/>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0</xdr:col>
      <xdr:colOff>290548</xdr:colOff>
      <xdr:row>6</xdr:row>
      <xdr:rowOff>51974</xdr:rowOff>
    </xdr:from>
    <xdr:to>
      <xdr:col>7</xdr:col>
      <xdr:colOff>523348</xdr:colOff>
      <xdr:row>33</xdr:row>
      <xdr:rowOff>37124</xdr:rowOff>
    </xdr:to>
    <xdr:grpSp>
      <xdr:nvGrpSpPr>
        <xdr:cNvPr id="60" name="Group 59">
          <a:extLst>
            <a:ext uri="{FF2B5EF4-FFF2-40B4-BE49-F238E27FC236}">
              <a16:creationId xmlns:a16="http://schemas.microsoft.com/office/drawing/2014/main" id="{00000000-0008-0000-0200-00003C000000}"/>
            </a:ext>
          </a:extLst>
        </xdr:cNvPr>
        <xdr:cNvGrpSpPr/>
      </xdr:nvGrpSpPr>
      <xdr:grpSpPr>
        <a:xfrm>
          <a:off x="290548" y="1023524"/>
          <a:ext cx="4500000" cy="4500000"/>
          <a:chOff x="290548" y="1023524"/>
          <a:chExt cx="4500000" cy="4500000"/>
        </a:xfrm>
      </xdr:grpSpPr>
      <xdr:sp macro="" textlink="">
        <xdr:nvSpPr>
          <xdr:cNvPr id="3118" name="TextBox 3117">
            <a:extLst>
              <a:ext uri="{FF2B5EF4-FFF2-40B4-BE49-F238E27FC236}">
                <a16:creationId xmlns:a16="http://schemas.microsoft.com/office/drawing/2014/main" id="{00000000-0008-0000-0200-00002E0C0000}"/>
              </a:ext>
            </a:extLst>
          </xdr:cNvPr>
          <xdr:cNvSpPr txBox="1">
            <a:spLocks noChangeAspect="1"/>
          </xdr:cNvSpPr>
        </xdr:nvSpPr>
        <xdr:spPr>
          <a:xfrm>
            <a:off x="290548"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Customer Segments</a:t>
            </a:r>
          </a:p>
        </xdr:txBody>
      </xdr:sp>
      <xdr:grpSp>
        <xdr:nvGrpSpPr>
          <xdr:cNvPr id="3120" name="Group 3119">
            <a:extLst>
              <a:ext uri="{FF2B5EF4-FFF2-40B4-BE49-F238E27FC236}">
                <a16:creationId xmlns:a16="http://schemas.microsoft.com/office/drawing/2014/main" id="{00000000-0008-0000-0200-0000300C0000}"/>
              </a:ext>
            </a:extLst>
          </xdr:cNvPr>
          <xdr:cNvGrpSpPr/>
        </xdr:nvGrpSpPr>
        <xdr:grpSpPr>
          <a:xfrm>
            <a:off x="470548" y="1203524"/>
            <a:ext cx="4140000" cy="4140000"/>
            <a:chOff x="4850196" y="1315537"/>
            <a:chExt cx="4140000" cy="4140000"/>
          </a:xfrm>
        </xdr:grpSpPr>
        <xdr:sp macro="" textlink="">
          <xdr:nvSpPr>
            <xdr:cNvPr id="3131" name="Rectangle: Rounded Corners 40">
              <a:extLst>
                <a:ext uri="{FF2B5EF4-FFF2-40B4-BE49-F238E27FC236}">
                  <a16:creationId xmlns:a16="http://schemas.microsoft.com/office/drawing/2014/main" id="{00000000-0008-0000-0200-00003B0C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2" name="Rectangle: Rounded Corners 41">
              <a:extLst>
                <a:ext uri="{FF2B5EF4-FFF2-40B4-BE49-F238E27FC236}">
                  <a16:creationId xmlns:a16="http://schemas.microsoft.com/office/drawing/2014/main" id="{00000000-0008-0000-0200-00003C0C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3" name="Rectangle: Rounded Corners 42">
              <a:extLst>
                <a:ext uri="{FF2B5EF4-FFF2-40B4-BE49-F238E27FC236}">
                  <a16:creationId xmlns:a16="http://schemas.microsoft.com/office/drawing/2014/main" id="{00000000-0008-0000-0200-00003D0C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609599" y="1333500"/>
          <a:ext cx="3859200" cy="3859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583977</xdr:colOff>
      <xdr:row>49</xdr:row>
      <xdr:rowOff>133350</xdr:rowOff>
    </xdr:from>
    <xdr:to>
      <xdr:col>28</xdr:col>
      <xdr:colOff>435177</xdr:colOff>
      <xdr:row>55</xdr:row>
      <xdr:rowOff>133800</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00000000-0008-0000-02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583977" y="8210550"/>
              <a:ext cx="16920000" cy="972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21</xdr:col>
      <xdr:colOff>471160</xdr:colOff>
      <xdr:row>6</xdr:row>
      <xdr:rowOff>51974</xdr:rowOff>
    </xdr:from>
    <xdr:to>
      <xdr:col>29</xdr:col>
      <xdr:colOff>94360</xdr:colOff>
      <xdr:row>33</xdr:row>
      <xdr:rowOff>37124</xdr:rowOff>
    </xdr:to>
    <xdr:grpSp>
      <xdr:nvGrpSpPr>
        <xdr:cNvPr id="61" name="Group 60">
          <a:extLst>
            <a:ext uri="{FF2B5EF4-FFF2-40B4-BE49-F238E27FC236}">
              <a16:creationId xmlns:a16="http://schemas.microsoft.com/office/drawing/2014/main" id="{00000000-0008-0000-0200-00003D000000}"/>
            </a:ext>
          </a:extLst>
        </xdr:cNvPr>
        <xdr:cNvGrpSpPr/>
      </xdr:nvGrpSpPr>
      <xdr:grpSpPr>
        <a:xfrm>
          <a:off x="13272760" y="1023524"/>
          <a:ext cx="4500000" cy="4500000"/>
          <a:chOff x="13272760" y="1023524"/>
          <a:chExt cx="4500000" cy="4500000"/>
        </a:xfrm>
      </xdr:grpSpPr>
      <xdr:sp macro="" textlink="">
        <xdr:nvSpPr>
          <xdr:cNvPr id="3109" name="TextBox 3108">
            <a:extLst>
              <a:ext uri="{FF2B5EF4-FFF2-40B4-BE49-F238E27FC236}">
                <a16:creationId xmlns:a16="http://schemas.microsoft.com/office/drawing/2014/main" id="{00000000-0008-0000-0200-0000250C0000}"/>
              </a:ext>
            </a:extLst>
          </xdr:cNvPr>
          <xdr:cNvSpPr txBox="1">
            <a:spLocks noChangeAspect="1"/>
          </xdr:cNvSpPr>
        </xdr:nvSpPr>
        <xdr:spPr>
          <a:xfrm rot="5400000">
            <a:off x="13272760"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Order Priority</a:t>
            </a:r>
          </a:p>
        </xdr:txBody>
      </xdr:sp>
      <xdr:grpSp>
        <xdr:nvGrpSpPr>
          <xdr:cNvPr id="3101" name="Group 3100">
            <a:extLst>
              <a:ext uri="{FF2B5EF4-FFF2-40B4-BE49-F238E27FC236}">
                <a16:creationId xmlns:a16="http://schemas.microsoft.com/office/drawing/2014/main" id="{00000000-0008-0000-0200-00001D0C0000}"/>
              </a:ext>
            </a:extLst>
          </xdr:cNvPr>
          <xdr:cNvGrpSpPr/>
        </xdr:nvGrpSpPr>
        <xdr:grpSpPr>
          <a:xfrm>
            <a:off x="13452760" y="1203524"/>
            <a:ext cx="4140000" cy="4140000"/>
            <a:chOff x="4850196" y="1315537"/>
            <a:chExt cx="4140000" cy="4140000"/>
          </a:xfrm>
        </xdr:grpSpPr>
        <xdr:sp macro="" textlink="">
          <xdr:nvSpPr>
            <xdr:cNvPr id="107" name="Rectangle: Rounded Corners 40">
              <a:extLst>
                <a:ext uri="{FF2B5EF4-FFF2-40B4-BE49-F238E27FC236}">
                  <a16:creationId xmlns:a16="http://schemas.microsoft.com/office/drawing/2014/main" id="{00000000-0008-0000-0200-00006B00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9" name="Rectangle: Rounded Corners 41">
              <a:extLst>
                <a:ext uri="{FF2B5EF4-FFF2-40B4-BE49-F238E27FC236}">
                  <a16:creationId xmlns:a16="http://schemas.microsoft.com/office/drawing/2014/main" id="{00000000-0008-0000-0200-00006D00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2" name="Rectangle: Rounded Corners 42">
              <a:extLst>
                <a:ext uri="{FF2B5EF4-FFF2-40B4-BE49-F238E27FC236}">
                  <a16:creationId xmlns:a16="http://schemas.microsoft.com/office/drawing/2014/main" id="{00000000-0008-0000-0200-00006600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62" name="Chart 61">
            <a:extLst>
              <a:ext uri="{FF2B5EF4-FFF2-40B4-BE49-F238E27FC236}">
                <a16:creationId xmlns:a16="http://schemas.microsoft.com/office/drawing/2014/main" id="{00000000-0008-0000-0200-00003E000000}"/>
              </a:ext>
            </a:extLst>
          </xdr:cNvPr>
          <xdr:cNvGraphicFramePr>
            <a:graphicFrameLocks noChangeAspect="1"/>
          </xdr:cNvGraphicFramePr>
        </xdr:nvGraphicFramePr>
        <xdr:xfrm>
          <a:off x="13588862" y="1354237"/>
          <a:ext cx="3859200" cy="381150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109573</xdr:colOff>
      <xdr:row>7</xdr:row>
      <xdr:rowOff>85725</xdr:rowOff>
    </xdr:from>
    <xdr:to>
      <xdr:col>13</xdr:col>
      <xdr:colOff>411973</xdr:colOff>
      <xdr:row>11</xdr:row>
      <xdr:rowOff>158025</xdr:rowOff>
    </xdr:to>
    <mc:AlternateContent xmlns:mc="http://schemas.openxmlformats.org/markup-compatibility/2006" xmlns:a14="http://schemas.microsoft.com/office/drawing/2010/main">
      <mc:Choice Requires="a14">
        <xdr:graphicFrame macro="">
          <xdr:nvGraphicFramePr>
            <xdr:cNvPr id="7" name="Order Priority">
              <a:extLst>
                <a:ext uri="{FF2B5EF4-FFF2-40B4-BE49-F238E27FC236}">
                  <a16:creationId xmlns:a16="http://schemas.microsoft.com/office/drawing/2014/main" id="{00000000-0008-0000-02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Priority"/>
            </a:graphicData>
          </a:graphic>
        </xdr:graphicFrame>
      </mc:Choice>
      <mc:Fallback xmlns="">
        <xdr:sp macro="" textlink="">
          <xdr:nvSpPr>
            <xdr:cNvPr id="0" name=""/>
            <xdr:cNvSpPr>
              <a:spLocks noTextEdit="1"/>
            </xdr:cNvSpPr>
          </xdr:nvSpPr>
          <xdr:spPr>
            <a:xfrm>
              <a:off x="4376773" y="1219200"/>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0</xdr:row>
      <xdr:rowOff>0</xdr:rowOff>
    </xdr:from>
    <xdr:to>
      <xdr:col>37</xdr:col>
      <xdr:colOff>361950</xdr:colOff>
      <xdr:row>3</xdr:row>
      <xdr:rowOff>95250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0" y="0"/>
          <a:ext cx="22917150" cy="581025"/>
          <a:chOff x="0" y="0"/>
          <a:chExt cx="22917150" cy="581025"/>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a:off x="0" y="0"/>
            <a:ext cx="22917150" cy="581025"/>
            <a:chOff x="0" y="0"/>
            <a:chExt cx="22917150" cy="581025"/>
          </a:xfrm>
        </xdr:grpSpPr>
        <xdr:sp macro="" textlink="">
          <xdr:nvSpPr>
            <xdr:cNvPr id="32" name="Rectangle 31">
              <a:extLst>
                <a:ext uri="{FF2B5EF4-FFF2-40B4-BE49-F238E27FC236}">
                  <a16:creationId xmlns:a16="http://schemas.microsoft.com/office/drawing/2014/main" id="{00000000-0008-0000-0200-000020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33" name="Picture 32" descr="Superstore - NBC.com">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34" name="TextBox 33">
              <a:hlinkClick xmlns:r="http://schemas.openxmlformats.org/officeDocument/2006/relationships" r:id="rId6" tooltip="Distribution"/>
              <a:extLst>
                <a:ext uri="{FF2B5EF4-FFF2-40B4-BE49-F238E27FC236}">
                  <a16:creationId xmlns:a16="http://schemas.microsoft.com/office/drawing/2014/main" id="{00000000-0008-0000-0200-000022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35" name="TextBox 34">
              <a:hlinkClick xmlns:r="http://schemas.openxmlformats.org/officeDocument/2006/relationships" r:id="rId7" tooltip="Sales &amp; Profit"/>
              <a:extLst>
                <a:ext uri="{FF2B5EF4-FFF2-40B4-BE49-F238E27FC236}">
                  <a16:creationId xmlns:a16="http://schemas.microsoft.com/office/drawing/2014/main" id="{00000000-0008-0000-0200-000023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36" name="TextBox 35">
              <a:hlinkClick xmlns:r="http://schemas.openxmlformats.org/officeDocument/2006/relationships" r:id="rId8" tooltip="Trends"/>
              <a:extLst>
                <a:ext uri="{FF2B5EF4-FFF2-40B4-BE49-F238E27FC236}">
                  <a16:creationId xmlns:a16="http://schemas.microsoft.com/office/drawing/2014/main" id="{00000000-0008-0000-0200-000024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38" name="Rectangle: Rounded Corners 37">
              <a:extLst>
                <a:ext uri="{FF2B5EF4-FFF2-40B4-BE49-F238E27FC236}">
                  <a16:creationId xmlns:a16="http://schemas.microsoft.com/office/drawing/2014/main" id="{00000000-0008-0000-0200-000026000000}"/>
                </a:ext>
              </a:extLst>
            </xdr:cNvPr>
            <xdr:cNvSpPr/>
          </xdr:nvSpPr>
          <xdr:spPr>
            <a:xfrm>
              <a:off x="12734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9" name="TextBox 38">
              <a:hlinkClick xmlns:r="http://schemas.openxmlformats.org/officeDocument/2006/relationships" r:id="rId9" tooltip="Sales Map"/>
              <a:extLst>
                <a:ext uri="{FF2B5EF4-FFF2-40B4-BE49-F238E27FC236}">
                  <a16:creationId xmlns:a16="http://schemas.microsoft.com/office/drawing/2014/main" id="{00000000-0008-0000-0200-000027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31" name="Picture 30">
            <a:hlinkClick xmlns:r="http://schemas.openxmlformats.org/officeDocument/2006/relationships" r:id="rId1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15</xdr:col>
      <xdr:colOff>566773</xdr:colOff>
      <xdr:row>7</xdr:row>
      <xdr:rowOff>76201</xdr:rowOff>
    </xdr:from>
    <xdr:to>
      <xdr:col>22</xdr:col>
      <xdr:colOff>259573</xdr:colOff>
      <xdr:row>11</xdr:row>
      <xdr:rowOff>148501</xdr:rowOff>
    </xdr:to>
    <mc:AlternateContent xmlns:mc="http://schemas.openxmlformats.org/markup-compatibility/2006" xmlns:a14="http://schemas.microsoft.com/office/drawing/2010/main">
      <mc:Choice Requires="a14">
        <xdr:graphicFrame macro="">
          <xdr:nvGraphicFramePr>
            <xdr:cNvPr id="6" name="Customer Segment 2">
              <a:extLst>
                <a:ext uri="{FF2B5EF4-FFF2-40B4-BE49-F238E27FC236}">
                  <a16:creationId xmlns:a16="http://schemas.microsoft.com/office/drawing/2014/main"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2"/>
            </a:graphicData>
          </a:graphic>
        </xdr:graphicFrame>
      </mc:Choice>
      <mc:Fallback xmlns="">
        <xdr:sp macro="" textlink="">
          <xdr:nvSpPr>
            <xdr:cNvPr id="0" name=""/>
            <xdr:cNvSpPr>
              <a:spLocks noTextEdit="1"/>
            </xdr:cNvSpPr>
          </xdr:nvSpPr>
          <xdr:spPr>
            <a:xfrm>
              <a:off x="9710773" y="1209676"/>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283816</xdr:colOff>
      <xdr:row>16</xdr:row>
      <xdr:rowOff>92174</xdr:rowOff>
    </xdr:from>
    <xdr:to>
      <xdr:col>4</xdr:col>
      <xdr:colOff>586703</xdr:colOff>
      <xdr:row>22</xdr:row>
      <xdr:rowOff>101699</xdr:rowOff>
    </xdr:to>
    <xdr:grpSp>
      <xdr:nvGrpSpPr>
        <xdr:cNvPr id="3123" name="Group 3122">
          <a:extLst>
            <a:ext uri="{FF2B5EF4-FFF2-40B4-BE49-F238E27FC236}">
              <a16:creationId xmlns:a16="http://schemas.microsoft.com/office/drawing/2014/main" id="{00000000-0008-0000-0200-0000330C0000}"/>
            </a:ext>
          </a:extLst>
        </xdr:cNvPr>
        <xdr:cNvGrpSpPr/>
      </xdr:nvGrpSpPr>
      <xdr:grpSpPr>
        <a:xfrm>
          <a:off x="2112616" y="2768699"/>
          <a:ext cx="912487" cy="1009650"/>
          <a:chOff x="7764224" y="1809750"/>
          <a:chExt cx="990668" cy="1009650"/>
        </a:xfrm>
      </xdr:grpSpPr>
      <mc:AlternateContent xmlns:mc="http://schemas.openxmlformats.org/markup-compatibility/2006">
        <mc:Choice xmlns:a14="http://schemas.microsoft.com/office/drawing/2010/main" Requires="a14">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7764224" y="1809750"/>
                <a:ext cx="990668"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3125" name="Group 3124">
            <a:extLst>
              <a:ext uri="{FF2B5EF4-FFF2-40B4-BE49-F238E27FC236}">
                <a16:creationId xmlns:a16="http://schemas.microsoft.com/office/drawing/2014/main" id="{00000000-0008-0000-0200-0000350C0000}"/>
              </a:ext>
            </a:extLst>
          </xdr:cNvPr>
          <xdr:cNvGrpSpPr/>
        </xdr:nvGrpSpPr>
        <xdr:grpSpPr>
          <a:xfrm>
            <a:off x="7830866" y="1971675"/>
            <a:ext cx="855818" cy="285750"/>
            <a:chOff x="7954691" y="1857375"/>
            <a:chExt cx="855818" cy="285750"/>
          </a:xfrm>
        </xdr:grpSpPr>
        <xdr:sp macro="" textlink="">
          <xdr:nvSpPr>
            <xdr:cNvPr id="3130" name="TextBox 3129">
              <a:extLst>
                <a:ext uri="{FF2B5EF4-FFF2-40B4-BE49-F238E27FC236}">
                  <a16:creationId xmlns:a16="http://schemas.microsoft.com/office/drawing/2014/main" id="{00000000-0008-0000-0200-00003A0C0000}"/>
                </a:ext>
              </a:extLst>
            </xdr:cNvPr>
            <xdr:cNvSpPr txBox="1"/>
          </xdr:nvSpPr>
          <xdr:spPr>
            <a:xfrm>
              <a:off x="8126136" y="1857375"/>
              <a:ext cx="6843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7954691" y="1866900"/>
                  <a:ext cx="814451"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3126" name="Group 3125">
            <a:extLst>
              <a:ext uri="{FF2B5EF4-FFF2-40B4-BE49-F238E27FC236}">
                <a16:creationId xmlns:a16="http://schemas.microsoft.com/office/drawing/2014/main" id="{00000000-0008-0000-0200-0000360C0000}"/>
              </a:ext>
            </a:extLst>
          </xdr:cNvPr>
          <xdr:cNvGrpSpPr/>
        </xdr:nvGrpSpPr>
        <xdr:grpSpPr>
          <a:xfrm>
            <a:off x="7830860" y="2314575"/>
            <a:ext cx="902967" cy="285750"/>
            <a:chOff x="11031260" y="1876425"/>
            <a:chExt cx="902967" cy="285750"/>
          </a:xfrm>
        </xdr:grpSpPr>
        <xdr:sp macro="" textlink="">
          <xdr:nvSpPr>
            <xdr:cNvPr id="3128" name="TextBox 3127">
              <a:extLst>
                <a:ext uri="{FF2B5EF4-FFF2-40B4-BE49-F238E27FC236}">
                  <a16:creationId xmlns:a16="http://schemas.microsoft.com/office/drawing/2014/main" id="{00000000-0008-0000-0200-0000380C0000}"/>
                </a:ext>
              </a:extLst>
            </xdr:cNvPr>
            <xdr:cNvSpPr txBox="1"/>
          </xdr:nvSpPr>
          <xdr:spPr>
            <a:xfrm>
              <a:off x="11193188" y="1876425"/>
              <a:ext cx="74103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031260" y="1885950"/>
                  <a:ext cx="793774"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24</xdr:col>
      <xdr:colOff>493003</xdr:colOff>
      <xdr:row>16</xdr:row>
      <xdr:rowOff>92174</xdr:rowOff>
    </xdr:from>
    <xdr:to>
      <xdr:col>26</xdr:col>
      <xdr:colOff>152434</xdr:colOff>
      <xdr:row>22</xdr:row>
      <xdr:rowOff>101699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5123403" y="2768699"/>
          <a:ext cx="878631" cy="1009650"/>
          <a:chOff x="7764231" y="1809750"/>
          <a:chExt cx="970037" cy="1009650"/>
        </a:xfrm>
      </xdr:grpSpPr>
      <mc:AlternateContent xmlns:mc="http://schemas.openxmlformats.org/markup-compatibility/2006">
        <mc:Choice xmlns:a14="http://schemas.microsoft.com/office/drawing/2010/main" Requires="a14">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764231" y="1809750"/>
                <a:ext cx="970037"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52" name="Group 51">
            <a:extLst>
              <a:ext uri="{FF2B5EF4-FFF2-40B4-BE49-F238E27FC236}">
                <a16:creationId xmlns:a16="http://schemas.microsoft.com/office/drawing/2014/main" id="{00000000-0008-0000-0200-000034000000}"/>
              </a:ext>
            </a:extLst>
          </xdr:cNvPr>
          <xdr:cNvGrpSpPr/>
        </xdr:nvGrpSpPr>
        <xdr:grpSpPr>
          <a:xfrm>
            <a:off x="7830868" y="1981200"/>
            <a:ext cx="861296" cy="619125"/>
            <a:chOff x="7954693" y="1866900"/>
            <a:chExt cx="861296" cy="619125"/>
          </a:xfrm>
        </xdr:grpSpPr>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8126136" y="2200275"/>
              <a:ext cx="68985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954693" y="1866900"/>
                  <a:ext cx="808719"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7830864" y="1971675"/>
            <a:ext cx="850784" cy="600075"/>
            <a:chOff x="11031264" y="1533525"/>
            <a:chExt cx="850784" cy="600075"/>
          </a:xfrm>
        </xdr:grpSpPr>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193188" y="1533525"/>
              <a:ext cx="68886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1031264" y="1885950"/>
                  <a:ext cx="819240"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22</xdr:col>
      <xdr:colOff>284359</xdr:colOff>
      <xdr:row>37</xdr:row>
      <xdr:rowOff>33759</xdr:rowOff>
    </xdr:from>
    <xdr:to>
      <xdr:col>27</xdr:col>
      <xdr:colOff>600078</xdr:colOff>
      <xdr:row>43</xdr:row>
      <xdr:rowOff>123824</xdr:rowOff>
    </xdr:to>
    <xdr:grpSp>
      <xdr:nvGrpSpPr>
        <xdr:cNvPr id="97" name="Group 96">
          <a:extLst>
            <a:ext uri="{FF2B5EF4-FFF2-40B4-BE49-F238E27FC236}">
              <a16:creationId xmlns:a16="http://schemas.microsoft.com/office/drawing/2014/main" id="{00000000-0008-0000-0200-000061000000}"/>
            </a:ext>
          </a:extLst>
        </xdr:cNvPr>
        <xdr:cNvGrpSpPr/>
      </xdr:nvGrpSpPr>
      <xdr:grpSpPr>
        <a:xfrm>
          <a:off x="13695559" y="6167859"/>
          <a:ext cx="3363719" cy="1061615"/>
          <a:chOff x="13705084" y="6148810"/>
          <a:chExt cx="3363719" cy="978834"/>
        </a:xfrm>
        <a:gradFill>
          <a:gsLst>
            <a:gs pos="0">
              <a:srgbClr val="DC25FA">
                <a:alpha val="20000"/>
              </a:srgbClr>
            </a:gs>
            <a:gs pos="63000">
              <a:srgbClr val="9947F7">
                <a:alpha val="20000"/>
              </a:srgbClr>
            </a:gs>
          </a:gsLst>
          <a:lin ang="3900000" scaled="0"/>
        </a:gradFill>
      </xdr:grpSpPr>
      <xdr:grpSp>
        <xdr:nvGrpSpPr>
          <xdr:cNvPr id="79" name="Group 78">
            <a:extLst>
              <a:ext uri="{FF2B5EF4-FFF2-40B4-BE49-F238E27FC236}">
                <a16:creationId xmlns:a16="http://schemas.microsoft.com/office/drawing/2014/main" id="{00000000-0008-0000-0200-00004F000000}"/>
              </a:ext>
            </a:extLst>
          </xdr:cNvPr>
          <xdr:cNvGrpSpPr/>
        </xdr:nvGrpSpPr>
        <xdr:grpSpPr>
          <a:xfrm>
            <a:off x="14452973" y="6148810"/>
            <a:ext cx="2615830" cy="978834"/>
            <a:chOff x="8009090" y="6240779"/>
            <a:chExt cx="720000" cy="864006"/>
          </a:xfrm>
          <a:grpFill/>
        </xdr:grpSpPr>
        <xdr:sp macro="" textlink="Pivot_tables!CS10">
          <xdr:nvSpPr>
            <xdr:cNvPr id="80" name="TextBox 79">
              <a:extLst>
                <a:ext uri="{FF2B5EF4-FFF2-40B4-BE49-F238E27FC236}">
                  <a16:creationId xmlns:a16="http://schemas.microsoft.com/office/drawing/2014/main" id="{00000000-0008-0000-0200-000050000000}"/>
                </a:ext>
              </a:extLst>
            </xdr:cNvPr>
            <xdr:cNvSpPr txBox="1"/>
          </xdr:nvSpPr>
          <xdr:spPr>
            <a:xfrm>
              <a:off x="8009090"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42">
          <xdr:nvSpPr>
            <xdr:cNvPr id="81" name="TextBox 80">
              <a:extLst>
                <a:ext uri="{FF2B5EF4-FFF2-40B4-BE49-F238E27FC236}">
                  <a16:creationId xmlns:a16="http://schemas.microsoft.com/office/drawing/2014/main" id="{00000000-0008-0000-0200-000051000000}"/>
                </a:ext>
              </a:extLst>
            </xdr:cNvPr>
            <xdr:cNvSpPr txBox="1"/>
          </xdr:nvSpPr>
          <xdr:spPr>
            <a:xfrm>
              <a:off x="8009090"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67AD6CF-221D-4BB3-AC76-D631D4B31098}" type="TxLink">
                <a:rPr lang="en-US" sz="1100" b="0" i="0" u="none" strike="noStrike">
                  <a:ln>
                    <a:noFill/>
                  </a:ln>
                  <a:solidFill>
                    <a:schemeClr val="bg1"/>
                  </a:solidFill>
                  <a:latin typeface="Avenir Next LT Pro"/>
                  <a:cs typeface="Arial"/>
                </a:rPr>
                <a:pPr algn="l"/>
                <a:t>Walla Walla</a:t>
              </a:fld>
              <a:endParaRPr lang="en-US" sz="1200" b="0" i="0" u="none" strike="noStrike">
                <a:ln>
                  <a:noFill/>
                </a:ln>
                <a:solidFill>
                  <a:schemeClr val="bg1"/>
                </a:solidFill>
                <a:latin typeface="Avenir Next LT Pro"/>
              </a:endParaRPr>
            </a:p>
          </xdr:txBody>
        </xdr:sp>
        <xdr:sp macro="" textlink="Pivot_tables!CM43">
          <xdr:nvSpPr>
            <xdr:cNvPr id="82" name="TextBox 81">
              <a:extLst>
                <a:ext uri="{FF2B5EF4-FFF2-40B4-BE49-F238E27FC236}">
                  <a16:creationId xmlns:a16="http://schemas.microsoft.com/office/drawing/2014/main" id="{00000000-0008-0000-0200-000052000000}"/>
                </a:ext>
              </a:extLst>
            </xdr:cNvPr>
            <xdr:cNvSpPr txBox="1"/>
          </xdr:nvSpPr>
          <xdr:spPr>
            <a:xfrm>
              <a:off x="8009090"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210D97-BE06-4F71-AC7C-C015CDD424D9}" type="TxLink">
                <a:rPr lang="en-US" sz="1100" b="0" i="0" u="none" strike="noStrike">
                  <a:ln>
                    <a:noFill/>
                  </a:ln>
                  <a:solidFill>
                    <a:schemeClr val="bg1"/>
                  </a:solidFill>
                  <a:latin typeface="Avenir Next LT Pro"/>
                </a:rPr>
                <a:pPr algn="l"/>
                <a:t>Laguna Hills</a:t>
              </a:fld>
              <a:endParaRPr lang="en-US" sz="1200" b="0" i="0" u="none" strike="noStrike">
                <a:ln>
                  <a:noFill/>
                </a:ln>
                <a:solidFill>
                  <a:schemeClr val="bg1"/>
                </a:solidFill>
                <a:latin typeface="Avenir Next LT Pro"/>
              </a:endParaRPr>
            </a:p>
          </xdr:txBody>
        </xdr:sp>
        <xdr:sp macro="" textlink="Pivot_tables!CM44">
          <xdr:nvSpPr>
            <xdr:cNvPr id="83" name="TextBox 82">
              <a:extLst>
                <a:ext uri="{FF2B5EF4-FFF2-40B4-BE49-F238E27FC236}">
                  <a16:creationId xmlns:a16="http://schemas.microsoft.com/office/drawing/2014/main" id="{00000000-0008-0000-0200-000053000000}"/>
                </a:ext>
              </a:extLst>
            </xdr:cNvPr>
            <xdr:cNvSpPr txBox="1"/>
          </xdr:nvSpPr>
          <xdr:spPr>
            <a:xfrm>
              <a:off x="8009090"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4FCDC6-CFBC-4736-8BB8-09472E567FFA}" type="TxLink">
                <a:rPr lang="en-US" sz="1100" b="0" i="0" u="none" strike="noStrike">
                  <a:ln>
                    <a:noFill/>
                  </a:ln>
                  <a:solidFill>
                    <a:schemeClr val="bg1"/>
                  </a:solidFill>
                  <a:latin typeface="Avenir Next LT Pro"/>
                </a:rPr>
                <a:pPr algn="l"/>
                <a:t>Janesville</a:t>
              </a:fld>
              <a:endParaRPr lang="en-US" sz="1200" b="0" i="0" u="none" strike="noStrike">
                <a:ln>
                  <a:noFill/>
                </a:ln>
                <a:solidFill>
                  <a:schemeClr val="bg1"/>
                </a:solidFill>
                <a:latin typeface="Avenir Next LT Pro"/>
              </a:endParaRPr>
            </a:p>
          </xdr:txBody>
        </xdr:sp>
      </xdr:grpSp>
      <xdr:grpSp>
        <xdr:nvGrpSpPr>
          <xdr:cNvPr id="71" name="Group 70">
            <a:extLst>
              <a:ext uri="{FF2B5EF4-FFF2-40B4-BE49-F238E27FC236}">
                <a16:creationId xmlns:a16="http://schemas.microsoft.com/office/drawing/2014/main" id="{00000000-0008-0000-0200-000047000000}"/>
              </a:ext>
            </a:extLst>
          </xdr:cNvPr>
          <xdr:cNvGrpSpPr/>
        </xdr:nvGrpSpPr>
        <xdr:grpSpPr>
          <a:xfrm>
            <a:off x="13705084" y="6148810"/>
            <a:ext cx="756000" cy="978834"/>
            <a:chOff x="7018124" y="6240779"/>
            <a:chExt cx="756731" cy="864006"/>
          </a:xfrm>
          <a:grpFill/>
        </xdr:grpSpPr>
        <xdr:sp macro="" textlink="Pivot_tables!CN41">
          <xdr:nvSpPr>
            <xdr:cNvPr id="72" name="TextBox 71">
              <a:extLst>
                <a:ext uri="{FF2B5EF4-FFF2-40B4-BE49-F238E27FC236}">
                  <a16:creationId xmlns:a16="http://schemas.microsoft.com/office/drawing/2014/main" id="{00000000-0008-0000-0200-000048000000}"/>
                </a:ext>
              </a:extLst>
            </xdr:cNvPr>
            <xdr:cNvSpPr txBox="1"/>
          </xdr:nvSpPr>
          <xdr:spPr>
            <a:xfrm>
              <a:off x="7018124"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8EEC1E-FCE5-4D35-ADCB-FEAC37550A79}"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42">
          <xdr:nvSpPr>
            <xdr:cNvPr id="73" name="TextBox 72">
              <a:extLst>
                <a:ext uri="{FF2B5EF4-FFF2-40B4-BE49-F238E27FC236}">
                  <a16:creationId xmlns:a16="http://schemas.microsoft.com/office/drawing/2014/main" id="{00000000-0008-0000-0200-000049000000}"/>
                </a:ext>
              </a:extLst>
            </xdr:cNvPr>
            <xdr:cNvSpPr txBox="1"/>
          </xdr:nvSpPr>
          <xdr:spPr>
            <a:xfrm>
              <a:off x="7018124"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D5B06C-463A-4F4B-B14C-9532FE41F09E}" type="TxLink">
                <a:rPr lang="en-US" sz="1100" b="0" i="0" u="none" strike="noStrike">
                  <a:ln>
                    <a:noFill/>
                  </a:ln>
                  <a:solidFill>
                    <a:schemeClr val="bg1"/>
                  </a:solidFill>
                  <a:latin typeface="Avenir Next LT Pro"/>
                </a:rPr>
                <a:pPr algn="ctr"/>
                <a:t>-$3</a:t>
              </a:fld>
              <a:endParaRPr lang="en-US" sz="1200" b="0" i="0" u="none" strike="noStrike">
                <a:ln>
                  <a:noFill/>
                </a:ln>
                <a:solidFill>
                  <a:schemeClr val="bg1"/>
                </a:solidFill>
                <a:latin typeface="Avenir Next LT Pro"/>
              </a:endParaRPr>
            </a:p>
          </xdr:txBody>
        </xdr:sp>
        <xdr:sp macro="" textlink="Pivot_tables!CN43">
          <xdr:nvSpPr>
            <xdr:cNvPr id="74" name="TextBox 73">
              <a:extLst>
                <a:ext uri="{FF2B5EF4-FFF2-40B4-BE49-F238E27FC236}">
                  <a16:creationId xmlns:a16="http://schemas.microsoft.com/office/drawing/2014/main" id="{00000000-0008-0000-0200-00004A000000}"/>
                </a:ext>
              </a:extLst>
            </xdr:cNvPr>
            <xdr:cNvSpPr txBox="1"/>
          </xdr:nvSpPr>
          <xdr:spPr>
            <a:xfrm>
              <a:off x="7018124"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5939CE-A261-483A-AC3F-CA2A8AB48FC4}" type="TxLink">
                <a:rPr lang="en-US" sz="1100" b="0" i="0" u="none" strike="noStrike">
                  <a:ln>
                    <a:noFill/>
                  </a:ln>
                  <a:solidFill>
                    <a:schemeClr val="bg1"/>
                  </a:solidFill>
                  <a:latin typeface="Avenir Next LT Pro"/>
                </a:rPr>
                <a:pPr algn="ctr"/>
                <a:t>-$8</a:t>
              </a:fld>
              <a:endParaRPr lang="en-US" sz="1200" b="0" i="0" u="none" strike="noStrike">
                <a:ln>
                  <a:noFill/>
                </a:ln>
                <a:solidFill>
                  <a:schemeClr val="bg1"/>
                </a:solidFill>
                <a:latin typeface="Avenir Next LT Pro"/>
              </a:endParaRPr>
            </a:p>
          </xdr:txBody>
        </xdr:sp>
        <xdr:sp macro="" textlink="Pivot_tables!CN44">
          <xdr:nvSpPr>
            <xdr:cNvPr id="75" name="TextBox 74">
              <a:extLst>
                <a:ext uri="{FF2B5EF4-FFF2-40B4-BE49-F238E27FC236}">
                  <a16:creationId xmlns:a16="http://schemas.microsoft.com/office/drawing/2014/main" id="{00000000-0008-0000-0200-00004B000000}"/>
                </a:ext>
              </a:extLst>
            </xdr:cNvPr>
            <xdr:cNvSpPr txBox="1"/>
          </xdr:nvSpPr>
          <xdr:spPr>
            <a:xfrm>
              <a:off x="7018124"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3D71B-CB13-4888-8A6F-5C2BF4D7FDD1}" type="TxLink">
                <a:rPr lang="en-US" sz="1100" b="0" i="0" u="none" strike="noStrike">
                  <a:ln>
                    <a:noFill/>
                  </a:ln>
                  <a:solidFill>
                    <a:schemeClr val="bg1"/>
                  </a:solidFill>
                  <a:latin typeface="Avenir Next LT Pro"/>
                </a:rPr>
                <a:pPr algn="ctr"/>
                <a:t>-$6</a:t>
              </a:fld>
              <a:endParaRPr lang="en-US" sz="1200" b="0" i="0" u="none" strike="noStrike">
                <a:ln>
                  <a:noFill/>
                </a:ln>
                <a:solidFill>
                  <a:schemeClr val="bg1"/>
                </a:solidFill>
                <a:latin typeface="Avenir Next LT Pro"/>
              </a:endParaRPr>
            </a:p>
          </xdr:txBody>
        </xdr:sp>
      </xdr:grpSp>
    </xdr:grpSp>
    <xdr:clientData/>
  </xdr:twoCellAnchor>
  <xdr:twoCellAnchor>
    <xdr:from>
      <xdr:col>15</xdr:col>
      <xdr:colOff>341509</xdr:colOff>
      <xdr:row>35</xdr:row>
      <xdr:rowOff>52809</xdr:rowOff>
    </xdr:from>
    <xdr:to>
      <xdr:col>21</xdr:col>
      <xdr:colOff>47615</xdr:colOff>
      <xdr:row>41</xdr:row>
      <xdr:rowOff>142874</xdr:rowOff>
    </xdr:to>
    <xdr:grpSp>
      <xdr:nvGrpSpPr>
        <xdr:cNvPr id="98" name="Group 97">
          <a:extLst>
            <a:ext uri="{FF2B5EF4-FFF2-40B4-BE49-F238E27FC236}">
              <a16:creationId xmlns:a16="http://schemas.microsoft.com/office/drawing/2014/main" id="{00000000-0008-0000-0200-000062000000}"/>
            </a:ext>
          </a:extLst>
        </xdr:cNvPr>
        <xdr:cNvGrpSpPr/>
      </xdr:nvGrpSpPr>
      <xdr:grpSpPr>
        <a:xfrm>
          <a:off x="9485509" y="5863059"/>
          <a:ext cx="3363706" cy="1061615"/>
          <a:chOff x="13695559" y="6148810"/>
          <a:chExt cx="3363706" cy="978834"/>
        </a:xfrm>
        <a:gradFill>
          <a:gsLst>
            <a:gs pos="0">
              <a:srgbClr val="DC25FA">
                <a:alpha val="20000"/>
              </a:srgbClr>
            </a:gs>
            <a:gs pos="63000">
              <a:srgbClr val="9947F7">
                <a:alpha val="20000"/>
              </a:srgbClr>
            </a:gs>
          </a:gsLst>
          <a:lin ang="3900000" scaled="0"/>
        </a:gradFill>
      </xdr:grpSpPr>
      <xdr:grpSp>
        <xdr:nvGrpSpPr>
          <xdr:cNvPr id="99" name="Group 98">
            <a:extLst>
              <a:ext uri="{FF2B5EF4-FFF2-40B4-BE49-F238E27FC236}">
                <a16:creationId xmlns:a16="http://schemas.microsoft.com/office/drawing/2014/main" id="{00000000-0008-0000-0200-000063000000}"/>
              </a:ext>
            </a:extLst>
          </xdr:cNvPr>
          <xdr:cNvGrpSpPr/>
        </xdr:nvGrpSpPr>
        <xdr:grpSpPr>
          <a:xfrm>
            <a:off x="14443436" y="6148810"/>
            <a:ext cx="2615829" cy="978834"/>
            <a:chOff x="8006468" y="6240779"/>
            <a:chExt cx="720000" cy="864006"/>
          </a:xfrm>
          <a:grpFill/>
        </xdr:grpSpPr>
        <xdr:sp macro="" textlink="Pivot_tables!CS10">
          <xdr:nvSpPr>
            <xdr:cNvPr id="106" name="TextBox 105">
              <a:extLst>
                <a:ext uri="{FF2B5EF4-FFF2-40B4-BE49-F238E27FC236}">
                  <a16:creationId xmlns:a16="http://schemas.microsoft.com/office/drawing/2014/main" id="{00000000-0008-0000-0200-00006A000000}"/>
                </a:ext>
              </a:extLst>
            </xdr:cNvPr>
            <xdr:cNvSpPr txBox="1"/>
          </xdr:nvSpPr>
          <xdr:spPr>
            <a:xfrm>
              <a:off x="8006468"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30">
          <xdr:nvSpPr>
            <xdr:cNvPr id="108" name="TextBox 107">
              <a:extLst>
                <a:ext uri="{FF2B5EF4-FFF2-40B4-BE49-F238E27FC236}">
                  <a16:creationId xmlns:a16="http://schemas.microsoft.com/office/drawing/2014/main" id="{00000000-0008-0000-0200-00006C000000}"/>
                </a:ext>
              </a:extLst>
            </xdr:cNvPr>
            <xdr:cNvSpPr txBox="1"/>
          </xdr:nvSpPr>
          <xdr:spPr>
            <a:xfrm>
              <a:off x="8006468"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A3E2A7-8B69-4E15-92ED-43B176843FE6}" type="TxLink">
                <a:rPr lang="en-US" sz="1100" b="0" i="0" u="none" strike="noStrike">
                  <a:ln>
                    <a:noFill/>
                  </a:ln>
                  <a:solidFill>
                    <a:schemeClr val="bg1"/>
                  </a:solidFill>
                  <a:latin typeface="Avenir Next LT Pro"/>
                </a:rPr>
                <a:pPr algn="l"/>
                <a:t>Los Angeles</a:t>
              </a:fld>
              <a:endParaRPr lang="en-US" sz="1200" b="0" i="0" u="none" strike="noStrike">
                <a:ln>
                  <a:noFill/>
                </a:ln>
                <a:solidFill>
                  <a:schemeClr val="bg1"/>
                </a:solidFill>
                <a:latin typeface="Avenir Next LT Pro"/>
              </a:endParaRPr>
            </a:p>
          </xdr:txBody>
        </xdr:sp>
        <xdr:sp macro="" textlink="Pivot_tables!CM31">
          <xdr:nvSpPr>
            <xdr:cNvPr id="110" name="TextBox 109">
              <a:extLst>
                <a:ext uri="{FF2B5EF4-FFF2-40B4-BE49-F238E27FC236}">
                  <a16:creationId xmlns:a16="http://schemas.microsoft.com/office/drawing/2014/main" id="{00000000-0008-0000-0200-00006E000000}"/>
                </a:ext>
              </a:extLst>
            </xdr:cNvPr>
            <xdr:cNvSpPr txBox="1"/>
          </xdr:nvSpPr>
          <xdr:spPr>
            <a:xfrm>
              <a:off x="8006468"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06F7084-CA7D-48B2-B51C-6EC7435969BF}" type="TxLink">
                <a:rPr lang="en-US" sz="1100" b="0" i="0" u="none" strike="noStrike">
                  <a:ln>
                    <a:noFill/>
                  </a:ln>
                  <a:solidFill>
                    <a:schemeClr val="bg1"/>
                  </a:solidFill>
                  <a:latin typeface="Avenir Next LT Pro"/>
                </a:rPr>
                <a:pPr algn="l"/>
                <a:t>New York City</a:t>
              </a:fld>
              <a:endParaRPr lang="en-US" sz="1200" b="0" i="0" u="none" strike="noStrike">
                <a:ln>
                  <a:noFill/>
                </a:ln>
                <a:solidFill>
                  <a:schemeClr val="bg1"/>
                </a:solidFill>
                <a:latin typeface="Avenir Next LT Pro"/>
              </a:endParaRPr>
            </a:p>
          </xdr:txBody>
        </xdr:sp>
        <xdr:sp macro="" textlink="Pivot_tables!CM32">
          <xdr:nvSpPr>
            <xdr:cNvPr id="111" name="TextBox 110">
              <a:extLst>
                <a:ext uri="{FF2B5EF4-FFF2-40B4-BE49-F238E27FC236}">
                  <a16:creationId xmlns:a16="http://schemas.microsoft.com/office/drawing/2014/main" id="{00000000-0008-0000-0200-00006F000000}"/>
                </a:ext>
              </a:extLst>
            </xdr:cNvPr>
            <xdr:cNvSpPr txBox="1"/>
          </xdr:nvSpPr>
          <xdr:spPr>
            <a:xfrm>
              <a:off x="8006468"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736281-A733-46AC-AD7E-FCE963AA85D5}" type="TxLink">
                <a:rPr lang="en-US" sz="1100" b="0" i="0" u="none" strike="noStrike">
                  <a:ln>
                    <a:noFill/>
                  </a:ln>
                  <a:solidFill>
                    <a:schemeClr val="bg1"/>
                  </a:solidFill>
                  <a:latin typeface="Avenir Next LT Pro"/>
                </a:rPr>
                <a:pPr algn="l"/>
                <a:t>Washington</a:t>
              </a:fld>
              <a:endParaRPr lang="en-US" sz="1200" b="0" i="0" u="none" strike="noStrike">
                <a:ln>
                  <a:noFill/>
                </a:ln>
                <a:solidFill>
                  <a:schemeClr val="bg1"/>
                </a:solidFill>
                <a:latin typeface="Avenir Next LT Pro"/>
              </a:endParaRPr>
            </a:p>
          </xdr:txBody>
        </xdr:sp>
      </xdr:grpSp>
      <xdr:grpSp>
        <xdr:nvGrpSpPr>
          <xdr:cNvPr id="100" name="Group 99">
            <a:extLst>
              <a:ext uri="{FF2B5EF4-FFF2-40B4-BE49-F238E27FC236}">
                <a16:creationId xmlns:a16="http://schemas.microsoft.com/office/drawing/2014/main" id="{00000000-0008-0000-0200-000064000000}"/>
              </a:ext>
            </a:extLst>
          </xdr:cNvPr>
          <xdr:cNvGrpSpPr/>
        </xdr:nvGrpSpPr>
        <xdr:grpSpPr>
          <a:xfrm>
            <a:off x="13695559" y="6148810"/>
            <a:ext cx="756000" cy="978834"/>
            <a:chOff x="7008590" y="6240779"/>
            <a:chExt cx="756731" cy="864006"/>
          </a:xfrm>
          <a:grpFill/>
        </xdr:grpSpPr>
        <xdr:sp macro="" textlink="Pivot_tables!CN29">
          <xdr:nvSpPr>
            <xdr:cNvPr id="101" name="TextBox 100">
              <a:extLst>
                <a:ext uri="{FF2B5EF4-FFF2-40B4-BE49-F238E27FC236}">
                  <a16:creationId xmlns:a16="http://schemas.microsoft.com/office/drawing/2014/main" id="{00000000-0008-0000-0200-000065000000}"/>
                </a:ext>
              </a:extLst>
            </xdr:cNvPr>
            <xdr:cNvSpPr txBox="1"/>
          </xdr:nvSpPr>
          <xdr:spPr>
            <a:xfrm>
              <a:off x="7008590"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89EFA7-CBC6-45A5-97E2-86B7095D5831}"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30">
          <xdr:nvSpPr>
            <xdr:cNvPr id="103" name="TextBox 102">
              <a:extLst>
                <a:ext uri="{FF2B5EF4-FFF2-40B4-BE49-F238E27FC236}">
                  <a16:creationId xmlns:a16="http://schemas.microsoft.com/office/drawing/2014/main" id="{00000000-0008-0000-0200-000067000000}"/>
                </a:ext>
              </a:extLst>
            </xdr:cNvPr>
            <xdr:cNvSpPr txBox="1"/>
          </xdr:nvSpPr>
          <xdr:spPr>
            <a:xfrm>
              <a:off x="7008590"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F448F2-D5C6-47EB-ACA4-258D2E4A3DFB}" type="TxLink">
                <a:rPr lang="en-US" sz="1100" b="0" i="0" u="none" strike="noStrike">
                  <a:ln>
                    <a:noFill/>
                  </a:ln>
                  <a:solidFill>
                    <a:schemeClr val="bg1"/>
                  </a:solidFill>
                  <a:latin typeface="Avenir Next LT Pro"/>
                </a:rPr>
                <a:pPr algn="ctr"/>
                <a:t>$7,866</a:t>
              </a:fld>
              <a:endParaRPr lang="en-US" sz="1200" b="0" i="0" u="none" strike="noStrike">
                <a:ln>
                  <a:noFill/>
                </a:ln>
                <a:solidFill>
                  <a:schemeClr val="bg1"/>
                </a:solidFill>
                <a:latin typeface="Avenir Next LT Pro"/>
              </a:endParaRPr>
            </a:p>
          </xdr:txBody>
        </xdr:sp>
        <xdr:sp macro="" textlink="Pivot_tables!CN31">
          <xdr:nvSpPr>
            <xdr:cNvPr id="104" name="TextBox 103">
              <a:extLst>
                <a:ext uri="{FF2B5EF4-FFF2-40B4-BE49-F238E27FC236}">
                  <a16:creationId xmlns:a16="http://schemas.microsoft.com/office/drawing/2014/main" id="{00000000-0008-0000-0200-000068000000}"/>
                </a:ext>
              </a:extLst>
            </xdr:cNvPr>
            <xdr:cNvSpPr txBox="1"/>
          </xdr:nvSpPr>
          <xdr:spPr>
            <a:xfrm>
              <a:off x="7008590"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19EE62-FA8A-4952-84E9-6A5C2727B327}" type="TxLink">
                <a:rPr lang="en-US" sz="1100" b="0" i="0" u="none" strike="noStrike">
                  <a:ln>
                    <a:noFill/>
                  </a:ln>
                  <a:solidFill>
                    <a:schemeClr val="bg1"/>
                  </a:solidFill>
                  <a:latin typeface="Avenir Next LT Pro"/>
                </a:rPr>
                <a:pPr algn="ctr"/>
                <a:t>$4,928</a:t>
              </a:fld>
              <a:endParaRPr lang="en-US" sz="1200" b="0" i="0" u="none" strike="noStrike">
                <a:ln>
                  <a:noFill/>
                </a:ln>
                <a:solidFill>
                  <a:schemeClr val="bg1"/>
                </a:solidFill>
                <a:latin typeface="Avenir Next LT Pro"/>
              </a:endParaRPr>
            </a:p>
          </xdr:txBody>
        </xdr:sp>
        <xdr:sp macro="" textlink="Pivot_tables!CN32">
          <xdr:nvSpPr>
            <xdr:cNvPr id="105" name="TextBox 104">
              <a:extLst>
                <a:ext uri="{FF2B5EF4-FFF2-40B4-BE49-F238E27FC236}">
                  <a16:creationId xmlns:a16="http://schemas.microsoft.com/office/drawing/2014/main" id="{00000000-0008-0000-0200-000069000000}"/>
                </a:ext>
              </a:extLst>
            </xdr:cNvPr>
            <xdr:cNvSpPr txBox="1"/>
          </xdr:nvSpPr>
          <xdr:spPr>
            <a:xfrm>
              <a:off x="7008590"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F29B52-4680-405E-939A-A92FD27F2ADA}" type="TxLink">
                <a:rPr lang="en-US" sz="1100" b="0" i="0" u="none" strike="noStrike">
                  <a:ln>
                    <a:noFill/>
                  </a:ln>
                  <a:solidFill>
                    <a:schemeClr val="bg1"/>
                  </a:solidFill>
                  <a:latin typeface="Avenir Next LT Pro"/>
                </a:rPr>
                <a:pPr algn="ctr"/>
                <a:t>$11,677</a:t>
              </a:fld>
              <a:endParaRPr lang="en-US" sz="1200" b="0" i="0" u="none" strike="noStrike">
                <a:ln>
                  <a:noFill/>
                </a:ln>
                <a:solidFill>
                  <a:schemeClr val="bg1"/>
                </a:solidFill>
                <a:latin typeface="Avenir Next LT Pro"/>
              </a:endParaRPr>
            </a:p>
          </xdr:txBody>
        </xdr:sp>
      </xdr:grpSp>
    </xdr:grpSp>
    <xdr:clientData/>
  </xdr:twoCellAnchor>
  <xdr:twoCellAnchor>
    <xdr:from>
      <xdr:col>8</xdr:col>
      <xdr:colOff>371474</xdr:colOff>
      <xdr:row>35</xdr:row>
      <xdr:rowOff>62334</xdr:rowOff>
    </xdr:from>
    <xdr:to>
      <xdr:col>14</xdr:col>
      <xdr:colOff>84501</xdr:colOff>
      <xdr:row>41</xdr:row>
      <xdr:rowOff>152399</xdr:rowOff>
    </xdr:to>
    <xdr:grpSp>
      <xdr:nvGrpSpPr>
        <xdr:cNvPr id="112" name="Group 111">
          <a:extLst>
            <a:ext uri="{FF2B5EF4-FFF2-40B4-BE49-F238E27FC236}">
              <a16:creationId xmlns:a16="http://schemas.microsoft.com/office/drawing/2014/main" id="{00000000-0008-0000-0200-000070000000}"/>
            </a:ext>
          </a:extLst>
        </xdr:cNvPr>
        <xdr:cNvGrpSpPr/>
      </xdr:nvGrpSpPr>
      <xdr:grpSpPr>
        <a:xfrm flipH="1">
          <a:off x="5248274" y="5872584"/>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113" name="Group 112">
            <a:extLst>
              <a:ext uri="{FF2B5EF4-FFF2-40B4-BE49-F238E27FC236}">
                <a16:creationId xmlns:a16="http://schemas.microsoft.com/office/drawing/2014/main" id="{00000000-0008-0000-0200-000071000000}"/>
              </a:ext>
            </a:extLst>
          </xdr:cNvPr>
          <xdr:cNvGrpSpPr/>
        </xdr:nvGrpSpPr>
        <xdr:grpSpPr>
          <a:xfrm>
            <a:off x="14424395" y="6148810"/>
            <a:ext cx="2615830" cy="978834"/>
            <a:chOff x="8001224" y="6240779"/>
            <a:chExt cx="720000" cy="864006"/>
          </a:xfrm>
          <a:grpFill/>
        </xdr:grpSpPr>
        <xdr:sp macro="" textlink="Pivot_tables!CS10">
          <xdr:nvSpPr>
            <xdr:cNvPr id="119" name="TextBox 118">
              <a:extLst>
                <a:ext uri="{FF2B5EF4-FFF2-40B4-BE49-F238E27FC236}">
                  <a16:creationId xmlns:a16="http://schemas.microsoft.com/office/drawing/2014/main" id="{00000000-0008-0000-0200-00007700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6">
          <xdr:nvSpPr>
            <xdr:cNvPr id="120" name="TextBox 119">
              <a:extLst>
                <a:ext uri="{FF2B5EF4-FFF2-40B4-BE49-F238E27FC236}">
                  <a16:creationId xmlns:a16="http://schemas.microsoft.com/office/drawing/2014/main" id="{00000000-0008-0000-0200-00007800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B3313D-CBF5-4D65-8427-29BCD958AD2C}" type="TxLink">
                <a:rPr lang="en-US" sz="1100" b="0" i="0" u="none" strike="noStrike">
                  <a:ln>
                    <a:noFill/>
                  </a:ln>
                  <a:solidFill>
                    <a:schemeClr val="bg1"/>
                  </a:solidFill>
                  <a:latin typeface="Avenir Next LT Pro"/>
                </a:rPr>
                <a:pPr algn="l"/>
                <a:t>Fellowes PB500 Electric Punch Plastic Comb Binding Machine with Manual Bind</a:t>
              </a:fld>
              <a:endParaRPr lang="en-US" b="0" i="0" u="none" strike="noStrike">
                <a:ln>
                  <a:noFill/>
                </a:ln>
                <a:solidFill>
                  <a:schemeClr val="bg1"/>
                </a:solidFill>
                <a:latin typeface="Avenir Next LT Pro"/>
              </a:endParaRPr>
            </a:p>
          </xdr:txBody>
        </xdr:sp>
        <xdr:sp macro="" textlink="Pivot_tables!CM7">
          <xdr:nvSpPr>
            <xdr:cNvPr id="121" name="TextBox 120">
              <a:extLst>
                <a:ext uri="{FF2B5EF4-FFF2-40B4-BE49-F238E27FC236}">
                  <a16:creationId xmlns:a16="http://schemas.microsoft.com/office/drawing/2014/main" id="{00000000-0008-0000-0200-00007900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4FFA5A-8997-4BD4-89C0-3F359A76A631}" type="TxLink">
                <a:rPr lang="en-US" sz="1100" b="0" i="0" u="none" strike="noStrike">
                  <a:ln>
                    <a:noFill/>
                  </a:ln>
                  <a:solidFill>
                    <a:schemeClr val="bg1"/>
                  </a:solidFill>
                  <a:latin typeface="Avenir Next LT Pro"/>
                </a:rPr>
                <a:pPr algn="l"/>
                <a:t>Global Troy™ Executive Leather Low-Back Tilter</a:t>
              </a:fld>
              <a:endParaRPr lang="en-US" sz="1200" b="0" i="0" u="none" strike="noStrike">
                <a:ln>
                  <a:noFill/>
                </a:ln>
                <a:solidFill>
                  <a:schemeClr val="bg1"/>
                </a:solidFill>
                <a:latin typeface="Avenir Next LT Pro"/>
              </a:endParaRPr>
            </a:p>
          </xdr:txBody>
        </xdr:sp>
        <xdr:sp macro="" textlink="Pivot_tables!CM8">
          <xdr:nvSpPr>
            <xdr:cNvPr id="124" name="TextBox 123">
              <a:extLst>
                <a:ext uri="{FF2B5EF4-FFF2-40B4-BE49-F238E27FC236}">
                  <a16:creationId xmlns:a16="http://schemas.microsoft.com/office/drawing/2014/main" id="{00000000-0008-0000-0200-00007C00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2D13558-5C59-4D6D-96B5-17ADC2DD72A0}" type="TxLink">
                <a:rPr lang="en-US" sz="1100" b="0" i="0" u="none" strike="noStrike">
                  <a:ln>
                    <a:noFill/>
                  </a:ln>
                  <a:solidFill>
                    <a:schemeClr val="bg1"/>
                  </a:solidFill>
                  <a:latin typeface="Avenir Next LT Pro"/>
                </a:rPr>
                <a:pPr algn="l"/>
                <a:t>Lexmark 4227 Plus Dot Matrix Printer</a:t>
              </a:fld>
              <a:endParaRPr lang="en-US" sz="1200" b="0" i="0" u="none" strike="noStrike">
                <a:ln>
                  <a:noFill/>
                </a:ln>
                <a:solidFill>
                  <a:schemeClr val="bg1"/>
                </a:solidFill>
                <a:latin typeface="Avenir Next LT Pro"/>
              </a:endParaRPr>
            </a:p>
          </xdr:txBody>
        </xdr:sp>
      </xdr:grpSp>
      <xdr:grpSp>
        <xdr:nvGrpSpPr>
          <xdr:cNvPr id="114" name="Group 113">
            <a:extLst>
              <a:ext uri="{FF2B5EF4-FFF2-40B4-BE49-F238E27FC236}">
                <a16:creationId xmlns:a16="http://schemas.microsoft.com/office/drawing/2014/main" id="{00000000-0008-0000-0200-000072000000}"/>
              </a:ext>
            </a:extLst>
          </xdr:cNvPr>
          <xdr:cNvGrpSpPr/>
        </xdr:nvGrpSpPr>
        <xdr:grpSpPr>
          <a:xfrm>
            <a:off x="13668046" y="6148810"/>
            <a:ext cx="756348" cy="978834"/>
            <a:chOff x="6981047" y="6240779"/>
            <a:chExt cx="757079" cy="864006"/>
          </a:xfrm>
          <a:grpFill/>
        </xdr:grpSpPr>
        <xdr:sp macro="" textlink="Pivot_tables!CN5">
          <xdr:nvSpPr>
            <xdr:cNvPr id="115" name="TextBox 114">
              <a:extLst>
                <a:ext uri="{FF2B5EF4-FFF2-40B4-BE49-F238E27FC236}">
                  <a16:creationId xmlns:a16="http://schemas.microsoft.com/office/drawing/2014/main" id="{00000000-0008-0000-0200-00007300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91FFCE-E867-41F3-8F06-14DC3B40147D}" type="TxLink">
                <a:rPr lang="en-US" sz="1200" b="0" i="0" u="none" strike="noStrike">
                  <a:ln>
                    <a:noFill/>
                  </a:ln>
                  <a:solidFill>
                    <a:srgbClr val="B1F5F1"/>
                  </a:solidFill>
                  <a:latin typeface="Avenir Next LT Pro"/>
                </a:rPr>
                <a:pPr algn="ctr"/>
                <a:t>Profit</a:t>
              </a:fld>
              <a:endParaRPr lang="en-US" sz="1800" b="0" i="0" u="none" strike="noStrike">
                <a:ln>
                  <a:noFill/>
                </a:ln>
                <a:solidFill>
                  <a:srgbClr val="B1F5F1"/>
                </a:solidFill>
                <a:latin typeface="Avenir Next LT Pro"/>
              </a:endParaRPr>
            </a:p>
          </xdr:txBody>
        </xdr:sp>
        <xdr:sp macro="" textlink="Pivot_tables!CN6">
          <xdr:nvSpPr>
            <xdr:cNvPr id="116" name="TextBox 115">
              <a:extLst>
                <a:ext uri="{FF2B5EF4-FFF2-40B4-BE49-F238E27FC236}">
                  <a16:creationId xmlns:a16="http://schemas.microsoft.com/office/drawing/2014/main" id="{00000000-0008-0000-0200-00007400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97952-3147-4147-9CB4-CF7275A71E2B}" type="TxLink">
                <a:rPr lang="en-US" sz="1100" b="0" i="0" u="none" strike="noStrike">
                  <a:ln>
                    <a:noFill/>
                  </a:ln>
                  <a:solidFill>
                    <a:schemeClr val="bg1"/>
                  </a:solidFill>
                  <a:latin typeface="Avenir Next LT Pro"/>
                </a:rPr>
                <a:pPr algn="ctr"/>
                <a:t>$23,866</a:t>
              </a:fld>
              <a:endParaRPr lang="en-US" sz="1200" b="0" i="0" u="none" strike="noStrike">
                <a:ln>
                  <a:noFill/>
                </a:ln>
                <a:solidFill>
                  <a:schemeClr val="bg1"/>
                </a:solidFill>
                <a:latin typeface="Avenir Next LT Pro"/>
              </a:endParaRPr>
            </a:p>
          </xdr:txBody>
        </xdr:sp>
        <xdr:sp macro="" textlink="Pivot_tables!CN7">
          <xdr:nvSpPr>
            <xdr:cNvPr id="117" name="TextBox 116">
              <a:extLst>
                <a:ext uri="{FF2B5EF4-FFF2-40B4-BE49-F238E27FC236}">
                  <a16:creationId xmlns:a16="http://schemas.microsoft.com/office/drawing/2014/main" id="{00000000-0008-0000-0200-00007500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A973AC-B74B-4D76-B269-01B69F260BF0}" type="TxLink">
                <a:rPr lang="en-US" sz="1100" b="0" i="0" u="none" strike="noStrike">
                  <a:ln>
                    <a:noFill/>
                  </a:ln>
                  <a:solidFill>
                    <a:schemeClr val="bg1"/>
                  </a:solidFill>
                  <a:latin typeface="Avenir Next LT Pro"/>
                </a:rPr>
                <a:pPr algn="ctr"/>
                <a:t>$18,628</a:t>
              </a:fld>
              <a:endParaRPr lang="en-US" sz="1200" b="0" i="0" u="none" strike="noStrike">
                <a:ln>
                  <a:noFill/>
                </a:ln>
                <a:solidFill>
                  <a:schemeClr val="bg1"/>
                </a:solidFill>
                <a:latin typeface="Avenir Next LT Pro"/>
              </a:endParaRPr>
            </a:p>
          </xdr:txBody>
        </xdr:sp>
        <xdr:sp macro="" textlink="Pivot_tables!CN8">
          <xdr:nvSpPr>
            <xdr:cNvPr id="118" name="TextBox 117">
              <a:extLst>
                <a:ext uri="{FF2B5EF4-FFF2-40B4-BE49-F238E27FC236}">
                  <a16:creationId xmlns:a16="http://schemas.microsoft.com/office/drawing/2014/main" id="{00000000-0008-0000-0200-00007600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14D34-5FD7-40AF-AFD8-9AE8BFAD242C}" type="TxLink">
                <a:rPr lang="en-US" sz="1100" b="0" i="0" u="none" strike="noStrike">
                  <a:ln>
                    <a:noFill/>
                  </a:ln>
                  <a:solidFill>
                    <a:schemeClr val="bg1"/>
                  </a:solidFill>
                  <a:latin typeface="Avenir Next LT Pro"/>
                </a:rPr>
                <a:pPr algn="ctr"/>
                <a:t>$3,700</a:t>
              </a:fld>
              <a:endParaRPr lang="en-US" sz="1200" b="0" i="0" u="none" strike="noStrike">
                <a:ln>
                  <a:noFill/>
                </a:ln>
                <a:solidFill>
                  <a:schemeClr val="bg1"/>
                </a:solidFill>
                <a:latin typeface="Avenir Next LT Pro"/>
              </a:endParaRPr>
            </a:p>
          </xdr:txBody>
        </xdr:sp>
      </xdr:grpSp>
    </xdr:grpSp>
    <xdr:clientData/>
  </xdr:twoCellAnchor>
  <xdr:twoCellAnchor>
    <xdr:from>
      <xdr:col>1</xdr:col>
      <xdr:colOff>428624</xdr:colOff>
      <xdr:row>37</xdr:row>
      <xdr:rowOff>33759</xdr:rowOff>
    </xdr:from>
    <xdr:to>
      <xdr:col>7</xdr:col>
      <xdr:colOff>141651</xdr:colOff>
      <xdr:row>43</xdr:row>
      <xdr:rowOff>123824</xdr:rowOff>
    </xdr:to>
    <xdr:grpSp>
      <xdr:nvGrpSpPr>
        <xdr:cNvPr id="3072" name="Group 3071">
          <a:extLst>
            <a:ext uri="{FF2B5EF4-FFF2-40B4-BE49-F238E27FC236}">
              <a16:creationId xmlns:a16="http://schemas.microsoft.com/office/drawing/2014/main" id="{00000000-0008-0000-0200-0000000C0000}"/>
            </a:ext>
          </a:extLst>
        </xdr:cNvPr>
        <xdr:cNvGrpSpPr/>
      </xdr:nvGrpSpPr>
      <xdr:grpSpPr>
        <a:xfrm flipH="1">
          <a:off x="1038224" y="6167859"/>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3076" name="Group 3075">
            <a:extLst>
              <a:ext uri="{FF2B5EF4-FFF2-40B4-BE49-F238E27FC236}">
                <a16:creationId xmlns:a16="http://schemas.microsoft.com/office/drawing/2014/main" id="{00000000-0008-0000-0200-0000040C0000}"/>
              </a:ext>
            </a:extLst>
          </xdr:cNvPr>
          <xdr:cNvGrpSpPr/>
        </xdr:nvGrpSpPr>
        <xdr:grpSpPr>
          <a:xfrm>
            <a:off x="14424395" y="6148810"/>
            <a:ext cx="2615830" cy="978834"/>
            <a:chOff x="8001224" y="6240779"/>
            <a:chExt cx="720000" cy="864006"/>
          </a:xfrm>
          <a:grpFill/>
        </xdr:grpSpPr>
        <xdr:sp macro="" textlink="Pivot_tables!CS10">
          <xdr:nvSpPr>
            <xdr:cNvPr id="3082" name="TextBox 3081">
              <a:extLst>
                <a:ext uri="{FF2B5EF4-FFF2-40B4-BE49-F238E27FC236}">
                  <a16:creationId xmlns:a16="http://schemas.microsoft.com/office/drawing/2014/main" id="{00000000-0008-0000-0200-00000A0C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18">
          <xdr:nvSpPr>
            <xdr:cNvPr id="3086" name="TextBox 3085">
              <a:extLst>
                <a:ext uri="{FF2B5EF4-FFF2-40B4-BE49-F238E27FC236}">
                  <a16:creationId xmlns:a16="http://schemas.microsoft.com/office/drawing/2014/main" id="{00000000-0008-0000-0200-00000E0C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1710F0-06E9-40C2-81E9-45DB4DCB12EF}" type="TxLink">
                <a:rPr lang="en-US" sz="1100" b="0" i="0" u="none" strike="noStrike">
                  <a:ln>
                    <a:noFill/>
                  </a:ln>
                  <a:solidFill>
                    <a:schemeClr val="bg1"/>
                  </a:solidFill>
                  <a:latin typeface="Avenir Next LT Pro"/>
                </a:rPr>
                <a:pPr algn="l"/>
                <a:t>Polycom ViewStation™ ISDN Videoconferencing Unit</a:t>
              </a:fld>
              <a:endParaRPr lang="en-US" sz="1200" b="0" i="0" u="none" strike="noStrike">
                <a:ln>
                  <a:noFill/>
                </a:ln>
                <a:solidFill>
                  <a:schemeClr val="bg1"/>
                </a:solidFill>
                <a:latin typeface="Avenir Next LT Pro"/>
              </a:endParaRPr>
            </a:p>
          </xdr:txBody>
        </xdr:sp>
        <xdr:sp macro="" textlink="Pivot_tables!CM19">
          <xdr:nvSpPr>
            <xdr:cNvPr id="3087" name="TextBox 3086">
              <a:extLst>
                <a:ext uri="{FF2B5EF4-FFF2-40B4-BE49-F238E27FC236}">
                  <a16:creationId xmlns:a16="http://schemas.microsoft.com/office/drawing/2014/main" id="{00000000-0008-0000-0200-00000F0C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E99C1D6-CB75-4C11-8200-3CBCDD5A09A7}" type="TxLink">
                <a:rPr lang="en-US" sz="1100" b="0" i="0" u="none" strike="noStrike">
                  <a:ln>
                    <a:noFill/>
                  </a:ln>
                  <a:solidFill>
                    <a:schemeClr val="bg1"/>
                  </a:solidFill>
                  <a:latin typeface="Avenir Next LT Pro"/>
                </a:rPr>
                <a:pPr algn="l"/>
                <a:t>5165</a:t>
              </a:fld>
              <a:endParaRPr lang="en-US" sz="1200" b="0" i="0" u="none" strike="noStrike">
                <a:ln>
                  <a:noFill/>
                </a:ln>
                <a:solidFill>
                  <a:schemeClr val="bg1"/>
                </a:solidFill>
                <a:latin typeface="Avenir Next LT Pro"/>
              </a:endParaRPr>
            </a:p>
          </xdr:txBody>
        </xdr:sp>
        <xdr:sp macro="" textlink="Pivot_tables!CM20">
          <xdr:nvSpPr>
            <xdr:cNvPr id="3088" name="TextBox 3087">
              <a:extLst>
                <a:ext uri="{FF2B5EF4-FFF2-40B4-BE49-F238E27FC236}">
                  <a16:creationId xmlns:a16="http://schemas.microsoft.com/office/drawing/2014/main" id="{00000000-0008-0000-0200-0000100C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A04A2C-4CB3-414F-9B83-6F25C573501D}" type="TxLink">
                <a:rPr lang="en-US" sz="1100" b="0" i="0" u="none" strike="noStrike">
                  <a:ln>
                    <a:noFill/>
                  </a:ln>
                  <a:solidFill>
                    <a:schemeClr val="bg1"/>
                  </a:solidFill>
                  <a:latin typeface="Avenir Next LT Pro"/>
                </a:rPr>
                <a:pPr algn="l"/>
                <a:t>Okidata Pacemark 4410N Wide Format Dot Matrix Printer</a:t>
              </a:fld>
              <a:endParaRPr lang="en-US" sz="1200" b="0" i="0" u="none" strike="noStrike">
                <a:ln>
                  <a:noFill/>
                </a:ln>
                <a:solidFill>
                  <a:schemeClr val="bg1"/>
                </a:solidFill>
                <a:latin typeface="Avenir Next LT Pro"/>
              </a:endParaRPr>
            </a:p>
          </xdr:txBody>
        </xdr:sp>
      </xdr:grpSp>
      <xdr:grpSp>
        <xdr:nvGrpSpPr>
          <xdr:cNvPr id="3077" name="Group 3076">
            <a:extLst>
              <a:ext uri="{FF2B5EF4-FFF2-40B4-BE49-F238E27FC236}">
                <a16:creationId xmlns:a16="http://schemas.microsoft.com/office/drawing/2014/main" id="{00000000-0008-0000-0200-0000050C0000}"/>
              </a:ext>
            </a:extLst>
          </xdr:cNvPr>
          <xdr:cNvGrpSpPr/>
        </xdr:nvGrpSpPr>
        <xdr:grpSpPr>
          <a:xfrm>
            <a:off x="13668046" y="6148810"/>
            <a:ext cx="756348" cy="978834"/>
            <a:chOff x="6981047" y="6240779"/>
            <a:chExt cx="757079" cy="864006"/>
          </a:xfrm>
          <a:grpFill/>
        </xdr:grpSpPr>
        <xdr:sp macro="" textlink="Pivot_tables!CN17">
          <xdr:nvSpPr>
            <xdr:cNvPr id="3078" name="TextBox 3077">
              <a:extLst>
                <a:ext uri="{FF2B5EF4-FFF2-40B4-BE49-F238E27FC236}">
                  <a16:creationId xmlns:a16="http://schemas.microsoft.com/office/drawing/2014/main" id="{00000000-0008-0000-0200-0000060C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F66A69-CAB5-4E2C-972A-1DCD0567D12E}"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18">
          <xdr:nvSpPr>
            <xdr:cNvPr id="3079" name="TextBox 3078">
              <a:extLst>
                <a:ext uri="{FF2B5EF4-FFF2-40B4-BE49-F238E27FC236}">
                  <a16:creationId xmlns:a16="http://schemas.microsoft.com/office/drawing/2014/main" id="{00000000-0008-0000-0200-0000070C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861CD3-4D3F-4DF7-AE10-BAF59EED3C92}" type="TxLink">
                <a:rPr lang="en-US" sz="1100" b="0" i="0" u="none" strike="noStrike">
                  <a:ln>
                    <a:noFill/>
                  </a:ln>
                  <a:solidFill>
                    <a:schemeClr val="bg1"/>
                  </a:solidFill>
                  <a:latin typeface="Avenir Next LT Pro"/>
                </a:rPr>
                <a:pPr algn="ctr"/>
                <a:t>-$27,621</a:t>
              </a:fld>
              <a:endParaRPr lang="en-US" sz="1200" b="0" i="0" u="none" strike="noStrike">
                <a:ln>
                  <a:noFill/>
                </a:ln>
                <a:solidFill>
                  <a:schemeClr val="bg1"/>
                </a:solidFill>
                <a:latin typeface="Avenir Next LT Pro"/>
              </a:endParaRPr>
            </a:p>
          </xdr:txBody>
        </xdr:sp>
        <xdr:sp macro="" textlink="Pivot_tables!CN19">
          <xdr:nvSpPr>
            <xdr:cNvPr id="3080" name="TextBox 3079">
              <a:extLst>
                <a:ext uri="{FF2B5EF4-FFF2-40B4-BE49-F238E27FC236}">
                  <a16:creationId xmlns:a16="http://schemas.microsoft.com/office/drawing/2014/main" id="{00000000-0008-0000-0200-0000080C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58C3EA-AE6B-4687-8E38-C8F24C23747F}" type="TxLink">
                <a:rPr lang="en-US" sz="1100" b="0" i="0" u="none" strike="noStrike">
                  <a:ln>
                    <a:noFill/>
                  </a:ln>
                  <a:solidFill>
                    <a:schemeClr val="bg1"/>
                  </a:solidFill>
                  <a:latin typeface="Avenir Next LT Pro"/>
                </a:rPr>
                <a:pPr algn="ctr"/>
                <a:t>-$12,549</a:t>
              </a:fld>
              <a:endParaRPr lang="en-US" sz="1200" b="0" i="0" u="none" strike="noStrike">
                <a:ln>
                  <a:noFill/>
                </a:ln>
                <a:solidFill>
                  <a:schemeClr val="bg1"/>
                </a:solidFill>
                <a:latin typeface="Avenir Next LT Pro"/>
              </a:endParaRPr>
            </a:p>
          </xdr:txBody>
        </xdr:sp>
        <xdr:sp macro="" textlink="Pivot_tables!CN20">
          <xdr:nvSpPr>
            <xdr:cNvPr id="3081" name="TextBox 3080">
              <a:extLst>
                <a:ext uri="{FF2B5EF4-FFF2-40B4-BE49-F238E27FC236}">
                  <a16:creationId xmlns:a16="http://schemas.microsoft.com/office/drawing/2014/main" id="{00000000-0008-0000-0200-0000090C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1320FA-8CDE-400A-A19C-1957F49DD7EB}" type="TxLink">
                <a:rPr lang="en-US" sz="1100" b="0" i="0" u="none" strike="noStrike">
                  <a:ln>
                    <a:noFill/>
                  </a:ln>
                  <a:solidFill>
                    <a:schemeClr val="bg1"/>
                  </a:solidFill>
                  <a:latin typeface="Avenir Next LT Pro"/>
                </a:rPr>
                <a:pPr algn="ctr"/>
                <a:t>-$11,000</a:t>
              </a:fld>
              <a:endParaRPr lang="en-US" sz="1200" b="0" i="0" u="none" strike="noStrike">
                <a:ln>
                  <a:noFill/>
                </a:ln>
                <a:solidFill>
                  <a:schemeClr val="bg1"/>
                </a:solidFill>
                <a:latin typeface="Avenir Next LT Pro"/>
              </a:endParaRPr>
            </a:p>
          </xdr:txBody>
        </xdr:sp>
      </xdr:grpSp>
    </xdr:grpSp>
    <xdr:clientData/>
  </xdr:twoCellAnchor>
  <xdr:twoCellAnchor>
    <xdr:from>
      <xdr:col>11</xdr:col>
      <xdr:colOff>190501</xdr:colOff>
      <xdr:row>42</xdr:row>
      <xdr:rowOff>28575</xdr:rowOff>
    </xdr:from>
    <xdr:to>
      <xdr:col>13</xdr:col>
      <xdr:colOff>519301</xdr:colOff>
      <xdr:row>43</xdr:row>
      <xdr:rowOff>118650</xdr:rowOff>
    </xdr:to>
    <xdr:sp macro="" textlink="">
      <xdr:nvSpPr>
        <xdr:cNvPr id="3089" name="TextBox 3088">
          <a:extLst>
            <a:ext uri="{FF2B5EF4-FFF2-40B4-BE49-F238E27FC236}">
              <a16:creationId xmlns:a16="http://schemas.microsoft.com/office/drawing/2014/main" id="{00000000-0008-0000-0200-0000110C0000}"/>
            </a:ext>
          </a:extLst>
        </xdr:cNvPr>
        <xdr:cNvSpPr txBox="1"/>
      </xdr:nvSpPr>
      <xdr:spPr>
        <a:xfrm>
          <a:off x="689610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4</xdr:col>
      <xdr:colOff>257176</xdr:colOff>
      <xdr:row>43</xdr:row>
      <xdr:rowOff>152400</xdr:rowOff>
    </xdr:from>
    <xdr:to>
      <xdr:col>6</xdr:col>
      <xdr:colOff>585976</xdr:colOff>
      <xdr:row>45</xdr:row>
      <xdr:rowOff>80550</xdr:rowOff>
    </xdr:to>
    <xdr:sp macro="" textlink="">
      <xdr:nvSpPr>
        <xdr:cNvPr id="3090" name="TextBox 3089">
          <a:extLst>
            <a:ext uri="{FF2B5EF4-FFF2-40B4-BE49-F238E27FC236}">
              <a16:creationId xmlns:a16="http://schemas.microsoft.com/office/drawing/2014/main" id="{00000000-0008-0000-0200-0000120C0000}"/>
            </a:ext>
          </a:extLst>
        </xdr:cNvPr>
        <xdr:cNvSpPr txBox="1"/>
      </xdr:nvSpPr>
      <xdr:spPr>
        <a:xfrm>
          <a:off x="2695576" y="725805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15</xdr:col>
      <xdr:colOff>514351</xdr:colOff>
      <xdr:row>42</xdr:row>
      <xdr:rowOff>28575</xdr:rowOff>
    </xdr:from>
    <xdr:to>
      <xdr:col>18</xdr:col>
      <xdr:colOff>233551</xdr:colOff>
      <xdr:row>43</xdr:row>
      <xdr:rowOff>118650</xdr:rowOff>
    </xdr:to>
    <xdr:sp macro="" textlink="">
      <xdr:nvSpPr>
        <xdr:cNvPr id="3091" name="TextBox 3090">
          <a:extLst>
            <a:ext uri="{FF2B5EF4-FFF2-40B4-BE49-F238E27FC236}">
              <a16:creationId xmlns:a16="http://schemas.microsoft.com/office/drawing/2014/main" id="{00000000-0008-0000-0200-0000130C0000}"/>
            </a:ext>
          </a:extLst>
        </xdr:cNvPr>
        <xdr:cNvSpPr txBox="1"/>
      </xdr:nvSpPr>
      <xdr:spPr>
        <a:xfrm>
          <a:off x="965835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22</xdr:col>
      <xdr:colOff>495301</xdr:colOff>
      <xdr:row>44</xdr:row>
      <xdr:rowOff>0</xdr:rowOff>
    </xdr:from>
    <xdr:to>
      <xdr:col>25</xdr:col>
      <xdr:colOff>214501</xdr:colOff>
      <xdr:row>45</xdr:row>
      <xdr:rowOff>90075</xdr:rowOff>
    </xdr:to>
    <xdr:sp macro="" textlink="">
      <xdr:nvSpPr>
        <xdr:cNvPr id="3092" name="TextBox 3091">
          <a:extLst>
            <a:ext uri="{FF2B5EF4-FFF2-40B4-BE49-F238E27FC236}">
              <a16:creationId xmlns:a16="http://schemas.microsoft.com/office/drawing/2014/main" id="{00000000-0008-0000-0200-0000140C0000}"/>
            </a:ext>
          </a:extLst>
        </xdr:cNvPr>
        <xdr:cNvSpPr txBox="1"/>
      </xdr:nvSpPr>
      <xdr:spPr>
        <a:xfrm>
          <a:off x="13906501" y="7267575"/>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5</xdr:col>
      <xdr:colOff>100275</xdr:colOff>
      <xdr:row>33</xdr:row>
      <xdr:rowOff>161924</xdr:rowOff>
    </xdr:from>
    <xdr:to>
      <xdr:col>7</xdr:col>
      <xdr:colOff>143476</xdr:colOff>
      <xdr:row>37</xdr:row>
      <xdr:rowOff>19050</xdr:rowOff>
    </xdr:to>
    <xdr:grpSp>
      <xdr:nvGrpSpPr>
        <xdr:cNvPr id="3137" name="Group 3136">
          <a:extLst>
            <a:ext uri="{FF2B5EF4-FFF2-40B4-BE49-F238E27FC236}">
              <a16:creationId xmlns:a16="http://schemas.microsoft.com/office/drawing/2014/main" id="{00000000-0008-0000-0200-0000410C0000}"/>
            </a:ext>
          </a:extLst>
        </xdr:cNvPr>
        <xdr:cNvGrpSpPr/>
      </xdr:nvGrpSpPr>
      <xdr:grpSpPr>
        <a:xfrm>
          <a:off x="3148275" y="5648324"/>
          <a:ext cx="1262401" cy="504826"/>
          <a:chOff x="3148275" y="5657849"/>
          <a:chExt cx="1262401" cy="504826"/>
        </a:xfrm>
      </xdr:grpSpPr>
      <xdr:sp macro="" textlink="">
        <xdr:nvSpPr>
          <xdr:cNvPr id="127" name="TextBox 126">
            <a:extLst>
              <a:ext uri="{FF2B5EF4-FFF2-40B4-BE49-F238E27FC236}">
                <a16:creationId xmlns:a16="http://schemas.microsoft.com/office/drawing/2014/main" id="{00000000-0008-0000-0200-00007F00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36" name="Picture 3135" descr="Free: This Is Where You Start To See The Real Secrets - Transparent Performance  Icon - nohat.cc">
            <a:extLst>
              <a:ext uri="{FF2B5EF4-FFF2-40B4-BE49-F238E27FC236}">
                <a16:creationId xmlns:a16="http://schemas.microsoft.com/office/drawing/2014/main" id="{00000000-0008-0000-0200-000040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22</xdr:col>
      <xdr:colOff>276226</xdr:colOff>
      <xdr:row>33</xdr:row>
      <xdr:rowOff>161924</xdr:rowOff>
    </xdr:from>
    <xdr:to>
      <xdr:col>24</xdr:col>
      <xdr:colOff>320626</xdr:colOff>
      <xdr:row>37</xdr:row>
      <xdr:rowOff>19050</xdr:rowOff>
    </xdr:to>
    <xdr:grpSp>
      <xdr:nvGrpSpPr>
        <xdr:cNvPr id="3138" name="Group 3137">
          <a:extLst>
            <a:ext uri="{FF2B5EF4-FFF2-40B4-BE49-F238E27FC236}">
              <a16:creationId xmlns:a16="http://schemas.microsoft.com/office/drawing/2014/main" id="{00000000-0008-0000-0200-0000420C0000}"/>
            </a:ext>
          </a:extLst>
        </xdr:cNvPr>
        <xdr:cNvGrpSpPr/>
      </xdr:nvGrpSpPr>
      <xdr:grpSpPr>
        <a:xfrm flipH="1">
          <a:off x="13687426" y="5648324"/>
          <a:ext cx="1263600" cy="504826"/>
          <a:chOff x="3148275" y="5657849"/>
          <a:chExt cx="1262401" cy="504826"/>
        </a:xfrm>
      </xdr:grpSpPr>
      <xdr:sp macro="" textlink="">
        <xdr:nvSpPr>
          <xdr:cNvPr id="3139" name="TextBox 3138">
            <a:extLst>
              <a:ext uri="{FF2B5EF4-FFF2-40B4-BE49-F238E27FC236}">
                <a16:creationId xmlns:a16="http://schemas.microsoft.com/office/drawing/2014/main" id="{00000000-0008-0000-0200-0000430C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40" name="Picture 3139" descr="Free: This Is Where You Start To See The Real Secrets - Transparent Performance  Icon - nohat.cc">
            <a:extLst>
              <a:ext uri="{FF2B5EF4-FFF2-40B4-BE49-F238E27FC236}">
                <a16:creationId xmlns:a16="http://schemas.microsoft.com/office/drawing/2014/main" id="{00000000-0008-0000-0200-000044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12</xdr:col>
      <xdr:colOff>201999</xdr:colOff>
      <xdr:row>32</xdr:row>
      <xdr:rowOff>28574</xdr:rowOff>
    </xdr:from>
    <xdr:to>
      <xdr:col>14</xdr:col>
      <xdr:colOff>82499</xdr:colOff>
      <xdr:row>35</xdr:row>
      <xdr:rowOff>47625</xdr:rowOff>
    </xdr:to>
    <xdr:sp macro="" textlink="">
      <xdr:nvSpPr>
        <xdr:cNvPr id="3142" name="TextBox 3141">
          <a:extLst>
            <a:ext uri="{FF2B5EF4-FFF2-40B4-BE49-F238E27FC236}">
              <a16:creationId xmlns:a16="http://schemas.microsoft.com/office/drawing/2014/main" id="{00000000-0008-0000-0200-0000460C0000}"/>
            </a:ext>
          </a:extLst>
        </xdr:cNvPr>
        <xdr:cNvSpPr txBox="1"/>
      </xdr:nvSpPr>
      <xdr:spPr>
        <a:xfrm>
          <a:off x="7517199"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xdr:from>
      <xdr:col>15</xdr:col>
      <xdr:colOff>339676</xdr:colOff>
      <xdr:row>32</xdr:row>
      <xdr:rowOff>28574</xdr:rowOff>
    </xdr:from>
    <xdr:to>
      <xdr:col>17</xdr:col>
      <xdr:colOff>220176</xdr:colOff>
      <xdr:row>35</xdr:row>
      <xdr:rowOff>47625</xdr:rowOff>
    </xdr:to>
    <xdr:sp macro="" textlink="">
      <xdr:nvSpPr>
        <xdr:cNvPr id="3150" name="TextBox 3149">
          <a:extLst>
            <a:ext uri="{FF2B5EF4-FFF2-40B4-BE49-F238E27FC236}">
              <a16:creationId xmlns:a16="http://schemas.microsoft.com/office/drawing/2014/main" id="{00000000-0008-0000-0200-00004E0C0000}"/>
            </a:ext>
          </a:extLst>
        </xdr:cNvPr>
        <xdr:cNvSpPr txBox="1"/>
      </xdr:nvSpPr>
      <xdr:spPr>
        <a:xfrm flipH="1">
          <a:off x="9483676"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editAs="oneCell">
    <xdr:from>
      <xdr:col>12</xdr:col>
      <xdr:colOff>43481</xdr:colOff>
      <xdr:row>32</xdr:row>
      <xdr:rowOff>52389</xdr:rowOff>
    </xdr:from>
    <xdr:to>
      <xdr:col>12</xdr:col>
      <xdr:colOff>475481</xdr:colOff>
      <xdr:row>34</xdr:row>
      <xdr:rowOff>143980</xdr:rowOff>
    </xdr:to>
    <xdr:pic>
      <xdr:nvPicPr>
        <xdr:cNvPr id="3151" name="Picture 3150" descr="Purple, Barn Star. Jigsaw Puzzle by Tom Hill - Fine Art America">
          <a:extLst>
            <a:ext uri="{FF2B5EF4-FFF2-40B4-BE49-F238E27FC236}">
              <a16:creationId xmlns:a16="http://schemas.microsoft.com/office/drawing/2014/main" id="{00000000-0008-0000-0200-00004F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735868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557831</xdr:colOff>
      <xdr:row>32</xdr:row>
      <xdr:rowOff>52389</xdr:rowOff>
    </xdr:from>
    <xdr:to>
      <xdr:col>17</xdr:col>
      <xdr:colOff>380231</xdr:colOff>
      <xdr:row>34</xdr:row>
      <xdr:rowOff>143980</xdr:rowOff>
    </xdr:to>
    <xdr:pic>
      <xdr:nvPicPr>
        <xdr:cNvPr id="3153" name="Picture 3152" descr="Purple, Barn Star. Jigsaw Puzzle by Tom Hill - Fine Art America">
          <a:extLst>
            <a:ext uri="{FF2B5EF4-FFF2-40B4-BE49-F238E27FC236}">
              <a16:creationId xmlns:a16="http://schemas.microsoft.com/office/drawing/2014/main" id="{00000000-0008-0000-0200-000051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1031143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600075</xdr:colOff>
      <xdr:row>33</xdr:row>
      <xdr:rowOff>133350</xdr:rowOff>
    </xdr:from>
    <xdr:to>
      <xdr:col>12</xdr:col>
      <xdr:colOff>454903</xdr:colOff>
      <xdr:row>35</xdr:row>
      <xdr:rowOff>61500</xdr:rowOff>
    </xdr:to>
    <xdr:grpSp>
      <xdr:nvGrpSpPr>
        <xdr:cNvPr id="3160" name="Group 3159">
          <a:extLst>
            <a:ext uri="{FF2B5EF4-FFF2-40B4-BE49-F238E27FC236}">
              <a16:creationId xmlns:a16="http://schemas.microsoft.com/office/drawing/2014/main" id="{00000000-0008-0000-0200-0000580C0000}"/>
            </a:ext>
          </a:extLst>
        </xdr:cNvPr>
        <xdr:cNvGrpSpPr/>
      </xdr:nvGrpSpPr>
      <xdr:grpSpPr>
        <a:xfrm>
          <a:off x="5476875" y="5619750"/>
          <a:ext cx="2293228" cy="252000"/>
          <a:chOff x="8001000" y="800100"/>
          <a:chExt cx="2293228" cy="252000"/>
        </a:xfrm>
      </xdr:grpSpPr>
      <xdr:grpSp>
        <xdr:nvGrpSpPr>
          <xdr:cNvPr id="59" name="Group 58">
            <a:extLst>
              <a:ext uri="{FF2B5EF4-FFF2-40B4-BE49-F238E27FC236}">
                <a16:creationId xmlns:a16="http://schemas.microsoft.com/office/drawing/2014/main" id="{00000000-0008-0000-0200-00003B000000}"/>
              </a:ext>
            </a:extLst>
          </xdr:cNvPr>
          <xdr:cNvGrpSpPr/>
        </xdr:nvGrpSpPr>
        <xdr:grpSpPr>
          <a:xfrm>
            <a:off x="8210549" y="828673"/>
            <a:ext cx="2083679" cy="180000"/>
            <a:chOff x="5257799" y="4924423"/>
            <a:chExt cx="2083679" cy="180000"/>
          </a:xfrm>
        </xdr:grpSpPr>
        <xdr:sp macro="" textlink="">
          <xdr:nvSpPr>
            <xdr:cNvPr id="3107" name="TextBox 3106">
              <a:extLst>
                <a:ext uri="{FF2B5EF4-FFF2-40B4-BE49-F238E27FC236}">
                  <a16:creationId xmlns:a16="http://schemas.microsoft.com/office/drawing/2014/main" id="{00000000-0008-0000-0200-000023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10" name="TextBox 3109">
              <a:extLst>
                <a:ext uri="{FF2B5EF4-FFF2-40B4-BE49-F238E27FC236}">
                  <a16:creationId xmlns:a16="http://schemas.microsoft.com/office/drawing/2014/main" id="{00000000-0008-0000-0200-00002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9" name="Group 3158">
                <a:extLst>
                  <a:ext uri="{FF2B5EF4-FFF2-40B4-BE49-F238E27FC236}">
                    <a16:creationId xmlns:a16="http://schemas.microsoft.com/office/drawing/2014/main" id="{00000000-0008-0000-0200-0000570C0000}"/>
                  </a:ext>
                </a:extLst>
              </xdr:cNvPr>
              <xdr:cNvGrpSpPr/>
            </xdr:nvGrpSpPr>
            <xdr:grpSpPr>
              <a:xfrm>
                <a:off x="8001000" y="800100"/>
                <a:ext cx="1944000" cy="252000"/>
                <a:chOff x="8029575" y="790575"/>
                <a:chExt cx="1944000" cy="252000"/>
              </a:xfrm>
            </xdr:grpSpPr>
            <xdr:sp macro="" textlink="">
              <xdr:nvSpPr>
                <xdr:cNvPr id="44" name="Group Box 19" hidden="1">
                  <a:extLst>
                    <a:ext uri="{63B3BB69-23CF-44E3-9099-C40C66FF867C}">
                      <a14:compatExt spid="_x0000_s3091"/>
                    </a:ext>
                    <a:ext uri="{FF2B5EF4-FFF2-40B4-BE49-F238E27FC236}">
                      <a16:creationId xmlns:a16="http://schemas.microsoft.com/office/drawing/2014/main" id="{00000000-0008-0000-0200-00002C00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63" name="Option Button 20" hidden="1">
                  <a:extLst>
                    <a:ext uri="{63B3BB69-23CF-44E3-9099-C40C66FF867C}">
                      <a14:compatExt spid="_x0000_s3092"/>
                    </a:ext>
                    <a:ext uri="{FF2B5EF4-FFF2-40B4-BE49-F238E27FC236}">
                      <a16:creationId xmlns:a16="http://schemas.microsoft.com/office/drawing/2014/main" id="{00000000-0008-0000-0200-00003F00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24</xdr:col>
      <xdr:colOff>352425</xdr:colOff>
      <xdr:row>35</xdr:row>
      <xdr:rowOff>95250</xdr:rowOff>
    </xdr:from>
    <xdr:to>
      <xdr:col>28</xdr:col>
      <xdr:colOff>207253</xdr:colOff>
      <xdr:row>37</xdr:row>
      <xdr:rowOff>23400</xdr:rowOff>
    </xdr:to>
    <xdr:grpSp>
      <xdr:nvGrpSpPr>
        <xdr:cNvPr id="3146" name="Group 3145">
          <a:extLst>
            <a:ext uri="{FF2B5EF4-FFF2-40B4-BE49-F238E27FC236}">
              <a16:creationId xmlns:a16="http://schemas.microsoft.com/office/drawing/2014/main" id="{00000000-0008-0000-0200-00004A0C0000}"/>
            </a:ext>
          </a:extLst>
        </xdr:cNvPr>
        <xdr:cNvGrpSpPr/>
      </xdr:nvGrpSpPr>
      <xdr:grpSpPr>
        <a:xfrm>
          <a:off x="14982825" y="5905500"/>
          <a:ext cx="2293228" cy="252000"/>
          <a:chOff x="8001000" y="800100"/>
          <a:chExt cx="2293228" cy="252000"/>
        </a:xfrm>
      </xdr:grpSpPr>
      <xdr:grpSp>
        <xdr:nvGrpSpPr>
          <xdr:cNvPr id="3147" name="Group 3146">
            <a:extLst>
              <a:ext uri="{FF2B5EF4-FFF2-40B4-BE49-F238E27FC236}">
                <a16:creationId xmlns:a16="http://schemas.microsoft.com/office/drawing/2014/main" id="{00000000-0008-0000-0200-00004B0C0000}"/>
              </a:ext>
            </a:extLst>
          </xdr:cNvPr>
          <xdr:cNvGrpSpPr/>
        </xdr:nvGrpSpPr>
        <xdr:grpSpPr>
          <a:xfrm>
            <a:off x="8210549" y="828673"/>
            <a:ext cx="2083679" cy="180000"/>
            <a:chOff x="5257799" y="4924423"/>
            <a:chExt cx="2083679" cy="180000"/>
          </a:xfrm>
        </xdr:grpSpPr>
        <xdr:sp macro="" textlink="">
          <xdr:nvSpPr>
            <xdr:cNvPr id="3149" name="TextBox 3148">
              <a:extLst>
                <a:ext uri="{FF2B5EF4-FFF2-40B4-BE49-F238E27FC236}">
                  <a16:creationId xmlns:a16="http://schemas.microsoft.com/office/drawing/2014/main" id="{00000000-0008-0000-0200-00004D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2" name="TextBox 3151">
              <a:extLst>
                <a:ext uri="{FF2B5EF4-FFF2-40B4-BE49-F238E27FC236}">
                  <a16:creationId xmlns:a16="http://schemas.microsoft.com/office/drawing/2014/main" id="{00000000-0008-0000-0200-000050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48" name="Group 3147">
                <a:extLst>
                  <a:ext uri="{FF2B5EF4-FFF2-40B4-BE49-F238E27FC236}">
                    <a16:creationId xmlns:a16="http://schemas.microsoft.com/office/drawing/2014/main" id="{00000000-0008-0000-0200-00004C0C0000}"/>
                  </a:ext>
                </a:extLst>
              </xdr:cNvPr>
              <xdr:cNvGrpSpPr/>
            </xdr:nvGrpSpPr>
            <xdr:grpSpPr>
              <a:xfrm>
                <a:off x="8001000" y="800100"/>
                <a:ext cx="1944000" cy="252000"/>
                <a:chOff x="8029575" y="790575"/>
                <a:chExt cx="1944000" cy="252000"/>
              </a:xfrm>
            </xdr:grpSpPr>
            <xdr:sp macro="" textlink="">
              <xdr:nvSpPr>
                <xdr:cNvPr id="3094" name="Group Box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xdr:col>
      <xdr:colOff>47625</xdr:colOff>
      <xdr:row>35</xdr:row>
      <xdr:rowOff>95250</xdr:rowOff>
    </xdr:from>
    <xdr:to>
      <xdr:col>5</xdr:col>
      <xdr:colOff>512053</xdr:colOff>
      <xdr:row>37</xdr:row>
      <xdr:rowOff>23400</xdr:rowOff>
    </xdr:to>
    <xdr:grpSp>
      <xdr:nvGrpSpPr>
        <xdr:cNvPr id="3154" name="Group 3153">
          <a:extLst>
            <a:ext uri="{FF2B5EF4-FFF2-40B4-BE49-F238E27FC236}">
              <a16:creationId xmlns:a16="http://schemas.microsoft.com/office/drawing/2014/main" id="{00000000-0008-0000-0200-0000520C0000}"/>
            </a:ext>
          </a:extLst>
        </xdr:cNvPr>
        <xdr:cNvGrpSpPr/>
      </xdr:nvGrpSpPr>
      <xdr:grpSpPr>
        <a:xfrm>
          <a:off x="1266825" y="5905500"/>
          <a:ext cx="2293228" cy="252000"/>
          <a:chOff x="8001000" y="800100"/>
          <a:chExt cx="2293228" cy="252000"/>
        </a:xfrm>
      </xdr:grpSpPr>
      <xdr:grpSp>
        <xdr:nvGrpSpPr>
          <xdr:cNvPr id="3155" name="Group 3154">
            <a:extLst>
              <a:ext uri="{FF2B5EF4-FFF2-40B4-BE49-F238E27FC236}">
                <a16:creationId xmlns:a16="http://schemas.microsoft.com/office/drawing/2014/main" id="{00000000-0008-0000-0200-0000530C0000}"/>
              </a:ext>
            </a:extLst>
          </xdr:cNvPr>
          <xdr:cNvGrpSpPr/>
        </xdr:nvGrpSpPr>
        <xdr:grpSpPr>
          <a:xfrm>
            <a:off x="8210549" y="828673"/>
            <a:ext cx="2083679" cy="180000"/>
            <a:chOff x="5257799" y="4924423"/>
            <a:chExt cx="2083679" cy="180000"/>
          </a:xfrm>
        </xdr:grpSpPr>
        <xdr:sp macro="" textlink="">
          <xdr:nvSpPr>
            <xdr:cNvPr id="3157" name="TextBox 3156">
              <a:extLst>
                <a:ext uri="{FF2B5EF4-FFF2-40B4-BE49-F238E27FC236}">
                  <a16:creationId xmlns:a16="http://schemas.microsoft.com/office/drawing/2014/main" id="{00000000-0008-0000-0200-000055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8" name="TextBox 3157">
              <a:extLst>
                <a:ext uri="{FF2B5EF4-FFF2-40B4-BE49-F238E27FC236}">
                  <a16:creationId xmlns:a16="http://schemas.microsoft.com/office/drawing/2014/main" id="{00000000-0008-0000-0200-00005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6" name="Group 3155">
                <a:extLst>
                  <a:ext uri="{FF2B5EF4-FFF2-40B4-BE49-F238E27FC236}">
                    <a16:creationId xmlns:a16="http://schemas.microsoft.com/office/drawing/2014/main" id="{00000000-0008-0000-0200-0000540C0000}"/>
                  </a:ext>
                </a:extLst>
              </xdr:cNvPr>
              <xdr:cNvGrpSpPr/>
            </xdr:nvGrpSpPr>
            <xdr:grpSpPr>
              <a:xfrm>
                <a:off x="8001000" y="800100"/>
                <a:ext cx="1944000" cy="252000"/>
                <a:chOff x="8029575" y="790575"/>
                <a:chExt cx="1944000" cy="252000"/>
              </a:xfrm>
            </xdr:grpSpPr>
            <xdr:sp macro="" textlink="">
              <xdr:nvSpPr>
                <xdr:cNvPr id="3097" name="Group Box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8" name="Option 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9" name="Option 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18</xdr:col>
      <xdr:colOff>9524</xdr:colOff>
      <xdr:row>33</xdr:row>
      <xdr:rowOff>152398</xdr:rowOff>
    </xdr:from>
    <xdr:to>
      <xdr:col>21</xdr:col>
      <xdr:colOff>264403</xdr:colOff>
      <xdr:row>35</xdr:row>
      <xdr:rowOff>8548</xdr:rowOff>
    </xdr:to>
    <xdr:grpSp>
      <xdr:nvGrpSpPr>
        <xdr:cNvPr id="3162" name="Group 3161">
          <a:extLst>
            <a:ext uri="{FF2B5EF4-FFF2-40B4-BE49-F238E27FC236}">
              <a16:creationId xmlns:a16="http://schemas.microsoft.com/office/drawing/2014/main" id="{00000000-0008-0000-0200-00005A0C0000}"/>
            </a:ext>
          </a:extLst>
        </xdr:cNvPr>
        <xdr:cNvGrpSpPr/>
      </xdr:nvGrpSpPr>
      <xdr:grpSpPr>
        <a:xfrm>
          <a:off x="10982324" y="5638798"/>
          <a:ext cx="2083679" cy="180000"/>
          <a:chOff x="5257799" y="4924423"/>
          <a:chExt cx="2083679" cy="180000"/>
        </a:xfrm>
      </xdr:grpSpPr>
      <xdr:sp macro="" textlink="">
        <xdr:nvSpPr>
          <xdr:cNvPr id="3168" name="TextBox 3167">
            <a:extLst>
              <a:ext uri="{FF2B5EF4-FFF2-40B4-BE49-F238E27FC236}">
                <a16:creationId xmlns:a16="http://schemas.microsoft.com/office/drawing/2014/main" id="{00000000-0008-0000-0200-000060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69" name="TextBox 3168">
            <a:extLst>
              <a:ext uri="{FF2B5EF4-FFF2-40B4-BE49-F238E27FC236}">
                <a16:creationId xmlns:a16="http://schemas.microsoft.com/office/drawing/2014/main" id="{00000000-0008-0000-0200-000061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409575</xdr:colOff>
          <xdr:row>33</xdr:row>
          <xdr:rowOff>123825</xdr:rowOff>
        </xdr:from>
        <xdr:to>
          <xdr:col>20</xdr:col>
          <xdr:colOff>523875</xdr:colOff>
          <xdr:row>35</xdr:row>
          <xdr:rowOff>47625</xdr:rowOff>
        </xdr:to>
        <xdr:sp macro="" textlink="">
          <xdr:nvSpPr>
            <xdr:cNvPr id="3100" name="Group Box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33</xdr:row>
          <xdr:rowOff>152400</xdr:rowOff>
        </xdr:from>
        <xdr:to>
          <xdr:col>19</xdr:col>
          <xdr:colOff>161925</xdr:colOff>
          <xdr:row>35</xdr:row>
          <xdr:rowOff>9525</xdr:rowOff>
        </xdr:to>
        <xdr:sp macro="" textlink="">
          <xdr:nvSpPr>
            <xdr:cNvPr id="3141" name="Option Button 29" hidden="1">
              <a:extLst>
                <a:ext uri="{63B3BB69-23CF-44E3-9099-C40C66FF867C}">
                  <a14:compatExt spid="_x0000_s310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190500</xdr:colOff>
          <xdr:row>33</xdr:row>
          <xdr:rowOff>152400</xdr:rowOff>
        </xdr:from>
        <xdr:to>
          <xdr:col>20</xdr:col>
          <xdr:colOff>476250</xdr:colOff>
          <xdr:row>35</xdr:row>
          <xdr:rowOff>9525</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552450</xdr:colOff>
          <xdr:row>8</xdr:row>
          <xdr:rowOff>142875</xdr:rowOff>
        </xdr:from>
        <xdr:to>
          <xdr:col>4</xdr:col>
          <xdr:colOff>352425</xdr:colOff>
          <xdr:row>20</xdr:row>
          <xdr:rowOff>142875</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3</a:t>
              </a:r>
            </a:p>
          </xdr:txBody>
        </xdr:sp>
        <xdr:clientData/>
      </xdr:twoCellAnchor>
    </mc:Choice>
    <mc:Fallback/>
  </mc:AlternateContent>
  <xdr:twoCellAnchor editAs="oneCell">
    <xdr:from>
      <xdr:col>0</xdr:col>
      <xdr:colOff>0</xdr:colOff>
      <xdr:row>0</xdr:row>
      <xdr:rowOff>0</xdr:rowOff>
    </xdr:from>
    <xdr:to>
      <xdr:col>30</xdr:col>
      <xdr:colOff>514350</xdr:colOff>
      <xdr:row>54</xdr:row>
      <xdr:rowOff>152400</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rcRect/>
        <a:stretch>
          <a:fillRect/>
        </a:stretch>
      </xdr:blipFill>
      <xdr:spPr bwMode="auto">
        <a:xfrm rot="10800000" flipV="1">
          <a:off x="0" y="0"/>
          <a:ext cx="18802350" cy="889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466725</xdr:colOff>
          <xdr:row>33</xdr:row>
          <xdr:rowOff>19050</xdr:rowOff>
        </xdr:from>
        <xdr:to>
          <xdr:col>8</xdr:col>
          <xdr:colOff>114300</xdr:colOff>
          <xdr:row>37</xdr:row>
          <xdr:rowOff>142875</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9</xdr:col>
      <xdr:colOff>523875</xdr:colOff>
      <xdr:row>4</xdr:row>
      <xdr:rowOff>95250</xdr:rowOff>
    </xdr:from>
    <xdr:to>
      <xdr:col>28</xdr:col>
      <xdr:colOff>352425</xdr:colOff>
      <xdr:row>55</xdr:row>
      <xdr:rowOff>57150</xdr:rowOff>
    </xdr:to>
    <mc:AlternateContent xmlns:mc="http://schemas.openxmlformats.org/markup-compatibility/2006">
      <mc:Choice xmlns:cx4="http://schemas.microsoft.com/office/drawing/2016/5/10/chartex" Requires="cx4">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010275" y="742950"/>
              <a:ext cx="11410950" cy="822007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570412</xdr:colOff>
      <xdr:row>31</xdr:row>
      <xdr:rowOff>28574</xdr:rowOff>
    </xdr:from>
    <xdr:to>
      <xdr:col>8</xdr:col>
      <xdr:colOff>13612</xdr:colOff>
      <xdr:row>54</xdr:row>
      <xdr:rowOff>47624</xdr:rowOff>
    </xdr:to>
    <xdr:grpSp>
      <xdr:nvGrpSpPr>
        <xdr:cNvPr id="63" name="Group 62">
          <a:extLst>
            <a:ext uri="{FF2B5EF4-FFF2-40B4-BE49-F238E27FC236}">
              <a16:creationId xmlns:a16="http://schemas.microsoft.com/office/drawing/2014/main" id="{00000000-0008-0000-0300-00003F000000}"/>
            </a:ext>
          </a:extLst>
        </xdr:cNvPr>
        <xdr:cNvGrpSpPr/>
      </xdr:nvGrpSpPr>
      <xdr:grpSpPr>
        <a:xfrm>
          <a:off x="570412" y="5048249"/>
          <a:ext cx="4320000" cy="3743325"/>
          <a:chOff x="694237" y="5210174"/>
          <a:chExt cx="4320000" cy="3743325"/>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94237" y="5210174"/>
            <a:ext cx="4320000" cy="3743325"/>
          </a:xfrm>
          <a:prstGeom prst="roundRect">
            <a:avLst>
              <a:gd name="adj" fmla="val 776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752475" y="6191250"/>
          <a:ext cx="4181475" cy="2647949"/>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58" name="Group 57">
            <a:extLst>
              <a:ext uri="{FF2B5EF4-FFF2-40B4-BE49-F238E27FC236}">
                <a16:creationId xmlns:a16="http://schemas.microsoft.com/office/drawing/2014/main" id="{00000000-0008-0000-0300-00003A000000}"/>
              </a:ext>
            </a:extLst>
          </xdr:cNvPr>
          <xdr:cNvGrpSpPr/>
        </xdr:nvGrpSpPr>
        <xdr:grpSpPr>
          <a:xfrm>
            <a:off x="1054012" y="5834063"/>
            <a:ext cx="3870413" cy="361950"/>
            <a:chOff x="1139737" y="5834063"/>
            <a:chExt cx="3870413" cy="361950"/>
          </a:xfrm>
        </xdr:grpSpPr>
        <xdr:grpSp>
          <xdr:nvGrpSpPr>
            <xdr:cNvPr id="44" name="Group 43">
              <a:extLst>
                <a:ext uri="{FF2B5EF4-FFF2-40B4-BE49-F238E27FC236}">
                  <a16:creationId xmlns:a16="http://schemas.microsoft.com/office/drawing/2014/main" id="{00000000-0008-0000-0300-00002C000000}"/>
                </a:ext>
              </a:extLst>
            </xdr:cNvPr>
            <xdr:cNvGrpSpPr/>
          </xdr:nvGrpSpPr>
          <xdr:grpSpPr>
            <a:xfrm>
              <a:off x="1301663" y="5881688"/>
              <a:ext cx="3419474" cy="314325"/>
              <a:chOff x="1543051" y="6134100"/>
              <a:chExt cx="3419474" cy="314325"/>
            </a:xfrm>
          </xdr:grpSpPr>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1543051" y="6134100"/>
                <a:ext cx="704849"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Central</a:t>
                </a:r>
              </a:p>
            </xdr:txBody>
          </xdr:sp>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2609849" y="6134100"/>
                <a:ext cx="473075"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East</a:t>
                </a:r>
              </a:p>
            </xdr:txBody>
          </xdr:sp>
          <xdr:sp macro="" textlink="Pivot_tables!AI42">
            <xdr:nvSpPr>
              <xdr:cNvPr id="38" name="TextBox 37">
                <a:extLst>
                  <a:ext uri="{FF2B5EF4-FFF2-40B4-BE49-F238E27FC236}">
                    <a16:creationId xmlns:a16="http://schemas.microsoft.com/office/drawing/2014/main" id="{00000000-0008-0000-0300-000026000000}"/>
                  </a:ext>
                </a:extLst>
              </xdr:cNvPr>
              <xdr:cNvSpPr txBox="1"/>
            </xdr:nvSpPr>
            <xdr:spPr>
              <a:xfrm>
                <a:off x="3444873" y="6134100"/>
                <a:ext cx="6032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South</a:t>
                </a:r>
              </a:p>
            </xdr:txBody>
          </xdr:sp>
          <xdr:sp macro="" textlink="Pivot_tables!AI42">
            <xdr:nvSpPr>
              <xdr:cNvPr id="41" name="TextBox 40">
                <a:extLst>
                  <a:ext uri="{FF2B5EF4-FFF2-40B4-BE49-F238E27FC236}">
                    <a16:creationId xmlns:a16="http://schemas.microsoft.com/office/drawing/2014/main" id="{00000000-0008-0000-0300-000029000000}"/>
                  </a:ext>
                </a:extLst>
              </xdr:cNvPr>
              <xdr:cNvSpPr txBox="1"/>
            </xdr:nvSpPr>
            <xdr:spPr>
              <a:xfrm>
                <a:off x="4410074" y="6134100"/>
                <a:ext cx="5524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West</a:t>
                </a:r>
              </a:p>
            </xdr:txBody>
          </xdr:sp>
        </xdr:grpSp>
        <mc:AlternateContent xmlns:mc="http://schemas.openxmlformats.org/markup-compatibility/2006">
          <mc:Choice xmlns:a14="http://schemas.microsoft.com/office/drawing/2010/main" Requires="a14">
            <xdr:grpSp>
              <xdr:nvGrpSpPr>
                <xdr:cNvPr id="55" name="Group 54">
                  <a:extLst>
                    <a:ext uri="{FF2B5EF4-FFF2-40B4-BE49-F238E27FC236}">
                      <a16:creationId xmlns:a16="http://schemas.microsoft.com/office/drawing/2014/main" id="{00000000-0008-0000-0300-000037000000}"/>
                    </a:ext>
                  </a:extLst>
                </xdr:cNvPr>
                <xdr:cNvGrpSpPr/>
              </xdr:nvGrpSpPr>
              <xdr:grpSpPr>
                <a:xfrm>
                  <a:off x="1139737" y="5834063"/>
                  <a:ext cx="3870413" cy="361950"/>
                  <a:chOff x="1139737" y="5834063"/>
                  <a:chExt cx="3870413" cy="361950"/>
                </a:xfrm>
              </xdr:grpSpPr>
              <xdr:sp macro="" textlink="">
                <xdr:nvSpPr>
                  <xdr:cNvPr id="4112" name="Option 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1139737" y="5834063"/>
                    <a:ext cx="784313"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3" name="Option 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2206537" y="5834063"/>
                    <a:ext cx="6572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4" name="Option 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3044737" y="5834063"/>
                    <a:ext cx="7905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4006762" y="5834063"/>
                    <a:ext cx="1003388"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sp macro="" textlink="Pivot_tables!AI32">
        <xdr:nvSpPr>
          <xdr:cNvPr id="50" name="TextBox 49">
            <a:extLst>
              <a:ext uri="{FF2B5EF4-FFF2-40B4-BE49-F238E27FC236}">
                <a16:creationId xmlns:a16="http://schemas.microsoft.com/office/drawing/2014/main" id="{00000000-0008-0000-0300-000032000000}"/>
              </a:ext>
            </a:extLst>
          </xdr:cNvPr>
          <xdr:cNvSpPr txBox="1"/>
        </xdr:nvSpPr>
        <xdr:spPr>
          <a:xfrm>
            <a:off x="820650" y="5448300"/>
            <a:ext cx="406717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800">
                <a:solidFill>
                  <a:schemeClr val="bg1"/>
                </a:solidFill>
                <a:latin typeface="Avenir Next LT Pro" panose="020B0504020202020204" pitchFamily="34" charset="0"/>
              </a:rPr>
              <a:t>Regional</a:t>
            </a:r>
          </a:p>
        </xdr:txBody>
      </xdr:sp>
    </xdr:grpSp>
    <xdr:clientData/>
  </xdr:twoCellAnchor>
  <xdr:twoCellAnchor>
    <xdr:from>
      <xdr:col>8</xdr:col>
      <xdr:colOff>228600</xdr:colOff>
      <xdr:row>31</xdr:row>
      <xdr:rowOff>28575</xdr:rowOff>
    </xdr:from>
    <xdr:to>
      <xdr:col>9</xdr:col>
      <xdr:colOff>519000</xdr:colOff>
      <xdr:row>54</xdr:row>
      <xdr:rowOff>47624</xdr:rowOff>
    </xdr:to>
    <xdr:grpSp>
      <xdr:nvGrpSpPr>
        <xdr:cNvPr id="4098" name="Group 4097">
          <a:extLst>
            <a:ext uri="{FF2B5EF4-FFF2-40B4-BE49-F238E27FC236}">
              <a16:creationId xmlns:a16="http://schemas.microsoft.com/office/drawing/2014/main" id="{00000000-0008-0000-0300-000002100000}"/>
            </a:ext>
          </a:extLst>
        </xdr:cNvPr>
        <xdr:cNvGrpSpPr/>
      </xdr:nvGrpSpPr>
      <xdr:grpSpPr>
        <a:xfrm>
          <a:off x="5105400" y="5048250"/>
          <a:ext cx="900000" cy="3743324"/>
          <a:chOff x="5229225" y="5210175"/>
          <a:chExt cx="900000" cy="3743324"/>
        </a:xfrm>
      </xdr:grpSpPr>
      <xdr:sp macro="" textlink="">
        <xdr:nvSpPr>
          <xdr:cNvPr id="4096" name="Rectangle: Rounded Corners 4095">
            <a:extLst>
              <a:ext uri="{FF2B5EF4-FFF2-40B4-BE49-F238E27FC236}">
                <a16:creationId xmlns:a16="http://schemas.microsoft.com/office/drawing/2014/main" id="{00000000-0008-0000-0300-000000100000}"/>
              </a:ext>
            </a:extLst>
          </xdr:cNvPr>
          <xdr:cNvSpPr/>
        </xdr:nvSpPr>
        <xdr:spPr>
          <a:xfrm>
            <a:off x="5229225" y="5210175"/>
            <a:ext cx="900000" cy="3743324"/>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3">
        <xdr:nvSpPr>
          <xdr:cNvPr id="4097" name="TextBox 4096">
            <a:extLst>
              <a:ext uri="{FF2B5EF4-FFF2-40B4-BE49-F238E27FC236}">
                <a16:creationId xmlns:a16="http://schemas.microsoft.com/office/drawing/2014/main" id="{00000000-0008-0000-0300-000001100000}"/>
              </a:ext>
            </a:extLst>
          </xdr:cNvPr>
          <xdr:cNvSpPr txBox="1"/>
        </xdr:nvSpPr>
        <xdr:spPr>
          <a:xfrm>
            <a:off x="5277563" y="5318475"/>
            <a:ext cx="803325" cy="463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0" i="0" u="none" strike="noStrike">
                <a:solidFill>
                  <a:srgbClr val="B1F5F1"/>
                </a:solidFill>
                <a:latin typeface="Avenir Next LT Pro Light" panose="020B0304020202020204" pitchFamily="34" charset="0"/>
                <a:cs typeface="+mn-cs"/>
              </a:rPr>
              <a:t>Regional Totals</a:t>
            </a:r>
          </a:p>
        </xdr:txBody>
      </xdr:sp>
      <xdr:grpSp>
        <xdr:nvGrpSpPr>
          <xdr:cNvPr id="59" name="Group 58">
            <a:extLst>
              <a:ext uri="{FF2B5EF4-FFF2-40B4-BE49-F238E27FC236}">
                <a16:creationId xmlns:a16="http://schemas.microsoft.com/office/drawing/2014/main" id="{00000000-0008-0000-0300-00003B000000}"/>
              </a:ext>
            </a:extLst>
          </xdr:cNvPr>
          <xdr:cNvGrpSpPr/>
        </xdr:nvGrpSpPr>
        <xdr:grpSpPr>
          <a:xfrm>
            <a:off x="5277563" y="5842348"/>
            <a:ext cx="803325" cy="2964754"/>
            <a:chOff x="5286375" y="5918548"/>
            <a:chExt cx="803325" cy="2964754"/>
          </a:xfrm>
        </xdr:grpSpPr>
        <xdr:grpSp>
          <xdr:nvGrpSpPr>
            <xdr:cNvPr id="26" name="Group 25">
              <a:extLst>
                <a:ext uri="{FF2B5EF4-FFF2-40B4-BE49-F238E27FC236}">
                  <a16:creationId xmlns:a16="http://schemas.microsoft.com/office/drawing/2014/main" id="{00000000-0008-0000-0300-00001A000000}"/>
                </a:ext>
              </a:extLst>
            </xdr:cNvPr>
            <xdr:cNvGrpSpPr/>
          </xdr:nvGrpSpPr>
          <xdr:grpSpPr>
            <a:xfrm>
              <a:off x="5286375" y="5918548"/>
              <a:ext cx="803325" cy="529877"/>
              <a:chOff x="5277563" y="5994748"/>
              <a:chExt cx="803325" cy="529877"/>
            </a:xfrm>
          </xdr:grpSpPr>
          <xdr:sp macro="" textlink="">
            <xdr:nvSpPr>
              <xdr:cNvPr id="4106" name="TextBox 4105">
                <a:extLst>
                  <a:ext uri="{FF2B5EF4-FFF2-40B4-BE49-F238E27FC236}">
                    <a16:creationId xmlns:a16="http://schemas.microsoft.com/office/drawing/2014/main" id="{00000000-0008-0000-0300-00000A1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Sales</a:t>
                </a:r>
              </a:p>
            </xdr:txBody>
          </xdr:sp>
          <xdr:sp macro="" textlink="Pivot_tables!AJ37">
            <xdr:nvSpPr>
              <xdr:cNvPr id="17" name="TextBox 16">
                <a:extLst>
                  <a:ext uri="{FF2B5EF4-FFF2-40B4-BE49-F238E27FC236}">
                    <a16:creationId xmlns:a16="http://schemas.microsoft.com/office/drawing/2014/main" id="{00000000-0008-0000-0300-00001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E32ABF7D-175A-428B-818D-F2D703D8B3B6}" type="TxLink">
                  <a:rPr lang="en-US" sz="1100" b="0" i="0" u="none" strike="noStrike">
                    <a:solidFill>
                      <a:schemeClr val="bg1"/>
                    </a:solidFill>
                    <a:latin typeface="Avenir Next LT Pro"/>
                    <a:cs typeface="+mn-cs"/>
                  </a:rPr>
                  <a:pPr algn="ctr"/>
                  <a:t> 441,446 </a:t>
                </a:fld>
                <a:endParaRPr lang="en-US" sz="1100" b="0" i="0" u="none" strike="noStrike">
                  <a:solidFill>
                    <a:schemeClr val="bg1"/>
                  </a:solidFill>
                  <a:latin typeface="Avenir Next LT Pro"/>
                  <a:cs typeface="+mn-cs"/>
                </a:endParaRPr>
              </a:p>
            </xdr:txBody>
          </xdr:sp>
        </xdr:grpSp>
        <xdr:grpSp>
          <xdr:nvGrpSpPr>
            <xdr:cNvPr id="33" name="Group 32">
              <a:extLst>
                <a:ext uri="{FF2B5EF4-FFF2-40B4-BE49-F238E27FC236}">
                  <a16:creationId xmlns:a16="http://schemas.microsoft.com/office/drawing/2014/main" id="{00000000-0008-0000-0300-000021000000}"/>
                </a:ext>
              </a:extLst>
            </xdr:cNvPr>
            <xdr:cNvGrpSpPr/>
          </xdr:nvGrpSpPr>
          <xdr:grpSpPr>
            <a:xfrm>
              <a:off x="5286375" y="6527267"/>
              <a:ext cx="803325" cy="529877"/>
              <a:chOff x="5277563" y="5994748"/>
              <a:chExt cx="803325" cy="529877"/>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Profit</a:t>
                </a:r>
              </a:p>
            </xdr:txBody>
          </xdr:sp>
          <xdr:sp macro="" textlink="Pivot_tables!AI37">
            <xdr:nvSpPr>
              <xdr:cNvPr id="36" name="TextBox 35">
                <a:extLst>
                  <a:ext uri="{FF2B5EF4-FFF2-40B4-BE49-F238E27FC236}">
                    <a16:creationId xmlns:a16="http://schemas.microsoft.com/office/drawing/2014/main" id="{00000000-0008-0000-0300-000024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26B3038-B1F0-499E-AA47-181588FDB69D}" type="TxLink">
                  <a:rPr lang="en-US" sz="1100" b="0" i="0" u="none" strike="noStrike">
                    <a:solidFill>
                      <a:schemeClr val="bg1"/>
                    </a:solidFill>
                    <a:latin typeface="Avenir Next LT Pro"/>
                    <a:cs typeface="+mn-cs"/>
                  </a:rPr>
                  <a:pPr algn="ctr"/>
                  <a:t> 78,646 </a:t>
                </a:fld>
                <a:endParaRPr lang="en-US" sz="1100" b="0" i="0" u="none" strike="noStrike">
                  <a:solidFill>
                    <a:schemeClr val="bg1"/>
                  </a:solidFill>
                  <a:latin typeface="Avenir Next LT Pro"/>
                  <a:cs typeface="+mn-cs"/>
                </a:endParaRPr>
              </a:p>
            </xdr:txBody>
          </xdr:sp>
        </xdr:grpSp>
        <xdr:grpSp>
          <xdr:nvGrpSpPr>
            <xdr:cNvPr id="37" name="Group 36">
              <a:extLst>
                <a:ext uri="{FF2B5EF4-FFF2-40B4-BE49-F238E27FC236}">
                  <a16:creationId xmlns:a16="http://schemas.microsoft.com/office/drawing/2014/main" id="{00000000-0008-0000-0300-000025000000}"/>
                </a:ext>
              </a:extLst>
            </xdr:cNvPr>
            <xdr:cNvGrpSpPr/>
          </xdr:nvGrpSpPr>
          <xdr:grpSpPr>
            <a:xfrm>
              <a:off x="5286375" y="7135986"/>
              <a:ext cx="803325" cy="529877"/>
              <a:chOff x="5277563" y="5994748"/>
              <a:chExt cx="803325" cy="529877"/>
            </a:xfrm>
          </xdr:grpSpPr>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Discount</a:t>
                </a:r>
              </a:p>
            </xdr:txBody>
          </xdr:sp>
          <xdr:sp macro="" textlink="Pivot_tables!AH37">
            <xdr:nvSpPr>
              <xdr:cNvPr id="45" name="TextBox 44">
                <a:extLst>
                  <a:ext uri="{FF2B5EF4-FFF2-40B4-BE49-F238E27FC236}">
                    <a16:creationId xmlns:a16="http://schemas.microsoft.com/office/drawing/2014/main" id="{00000000-0008-0000-0300-00002D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7DD3DFF6-E55B-4182-84B0-75039C1F075A}" type="TxLink">
                  <a:rPr lang="en-US" sz="1100" b="0" i="0" u="none" strike="noStrike">
                    <a:solidFill>
                      <a:schemeClr val="bg1"/>
                    </a:solidFill>
                    <a:latin typeface="Avenir Next LT Pro"/>
                    <a:cs typeface="+mn-cs"/>
                  </a:rPr>
                  <a:pPr algn="ctr"/>
                  <a:t> 27 </a:t>
                </a:fld>
                <a:endParaRPr lang="en-US" sz="1100" b="0" i="0" u="none" strike="noStrike">
                  <a:solidFill>
                    <a:schemeClr val="bg1"/>
                  </a:solidFill>
                  <a:latin typeface="Avenir Next LT Pro"/>
                  <a:cs typeface="+mn-cs"/>
                </a:endParaRPr>
              </a:p>
            </xdr:txBody>
          </xdr:sp>
        </xdr:grpSp>
        <xdr:grpSp>
          <xdr:nvGrpSpPr>
            <xdr:cNvPr id="47" name="Group 46">
              <a:extLst>
                <a:ext uri="{FF2B5EF4-FFF2-40B4-BE49-F238E27FC236}">
                  <a16:creationId xmlns:a16="http://schemas.microsoft.com/office/drawing/2014/main" id="{00000000-0008-0000-0300-00002F000000}"/>
                </a:ext>
              </a:extLst>
            </xdr:cNvPr>
            <xdr:cNvGrpSpPr/>
          </xdr:nvGrpSpPr>
          <xdr:grpSpPr>
            <a:xfrm>
              <a:off x="5286375" y="7744705"/>
              <a:ext cx="803325" cy="529877"/>
              <a:chOff x="5277563" y="5994748"/>
              <a:chExt cx="803325" cy="529877"/>
            </a:xfrm>
          </xdr:grpSpPr>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Cost</a:t>
                </a:r>
              </a:p>
            </xdr:txBody>
          </xdr:sp>
          <xdr:sp macro="" textlink="Pivot_tables!AF37">
            <xdr:nvSpPr>
              <xdr:cNvPr id="49" name="TextBox 48">
                <a:extLst>
                  <a:ext uri="{FF2B5EF4-FFF2-40B4-BE49-F238E27FC236}">
                    <a16:creationId xmlns:a16="http://schemas.microsoft.com/office/drawing/2014/main" id="{00000000-0008-0000-0300-00003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F586AB3-E833-47CF-9400-7E7E45A09FD3}" type="TxLink">
                  <a:rPr lang="en-US" sz="1100" b="0" i="0" u="none" strike="noStrike">
                    <a:solidFill>
                      <a:schemeClr val="bg1"/>
                    </a:solidFill>
                    <a:latin typeface="Avenir Next LT Pro"/>
                    <a:cs typeface="+mn-cs"/>
                  </a:rPr>
                  <a:pPr algn="ctr"/>
                  <a:t> 335,102 </a:t>
                </a:fld>
                <a:endParaRPr lang="en-US" sz="1100" b="0" i="0" u="none" strike="noStrike">
                  <a:solidFill>
                    <a:schemeClr val="bg1"/>
                  </a:solidFill>
                  <a:latin typeface="Avenir Next LT Pro"/>
                  <a:cs typeface="+mn-cs"/>
                </a:endParaRPr>
              </a:p>
            </xdr:txBody>
          </xdr:sp>
        </xdr:grpSp>
        <xdr:grpSp>
          <xdr:nvGrpSpPr>
            <xdr:cNvPr id="51" name="Group 50">
              <a:extLst>
                <a:ext uri="{FF2B5EF4-FFF2-40B4-BE49-F238E27FC236}">
                  <a16:creationId xmlns:a16="http://schemas.microsoft.com/office/drawing/2014/main" id="{00000000-0008-0000-0300-000033000000}"/>
                </a:ext>
              </a:extLst>
            </xdr:cNvPr>
            <xdr:cNvGrpSpPr/>
          </xdr:nvGrpSpPr>
          <xdr:grpSpPr>
            <a:xfrm>
              <a:off x="5286375" y="8353425"/>
              <a:ext cx="803325" cy="529877"/>
              <a:chOff x="5277563" y="5994748"/>
              <a:chExt cx="803325" cy="529877"/>
            </a:xfrm>
          </xdr:grpSpPr>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Shipping</a:t>
                </a:r>
              </a:p>
            </xdr:txBody>
          </xdr:sp>
          <xdr:sp macro="" textlink="Pivot_tables!AG37">
            <xdr:nvSpPr>
              <xdr:cNvPr id="54" name="TextBox 53">
                <a:extLst>
                  <a:ext uri="{FF2B5EF4-FFF2-40B4-BE49-F238E27FC236}">
                    <a16:creationId xmlns:a16="http://schemas.microsoft.com/office/drawing/2014/main" id="{00000000-0008-0000-0300-000036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9FCCA1EF-E414-4265-9C71-3BDCBCDFEB98}" type="TxLink">
                  <a:rPr lang="en-US" sz="1100" b="0" i="0" u="none" strike="noStrike">
                    <a:solidFill>
                      <a:schemeClr val="bg1"/>
                    </a:solidFill>
                    <a:latin typeface="Avenir Next LT Pro"/>
                    <a:cs typeface="+mn-cs"/>
                  </a:rPr>
                  <a:pPr algn="ctr"/>
                  <a:t> 7,021 </a:t>
                </a:fld>
                <a:endParaRPr lang="en-US" sz="1100" b="0" i="0" u="none" strike="noStrike">
                  <a:solidFill>
                    <a:schemeClr val="bg1"/>
                  </a:solidFill>
                  <a:latin typeface="Avenir Next LT Pro"/>
                  <a:cs typeface="+mn-cs"/>
                </a:endParaRPr>
              </a:p>
            </xdr:txBody>
          </xdr:sp>
        </xdr:grpSp>
      </xdr:grpSp>
    </xdr:grpSp>
    <xdr:clientData/>
  </xdr:twoCellAnchor>
  <xdr:twoCellAnchor>
    <xdr:from>
      <xdr:col>1</xdr:col>
      <xdr:colOff>8435</xdr:colOff>
      <xdr:row>5</xdr:row>
      <xdr:rowOff>28575</xdr:rowOff>
    </xdr:from>
    <xdr:to>
      <xdr:col>8</xdr:col>
      <xdr:colOff>61235</xdr:colOff>
      <xdr:row>8</xdr:row>
      <xdr:rowOff>82800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18035" y="838200"/>
          <a:ext cx="4320000" cy="540000"/>
          <a:chOff x="618035" y="838200"/>
          <a:chExt cx="4320000" cy="540000"/>
        </a:xfrm>
      </xdr:grpSpPr>
      <xdr:sp macro="" textlink="">
        <xdr:nvSpPr>
          <xdr:cNvPr id="46" name="Rectangle: Rounded Corners 45">
            <a:extLst>
              <a:ext uri="{FF2B5EF4-FFF2-40B4-BE49-F238E27FC236}">
                <a16:creationId xmlns:a16="http://schemas.microsoft.com/office/drawing/2014/main" id="{00000000-0008-0000-0300-00002E000000}"/>
              </a:ext>
            </a:extLst>
          </xdr:cNvPr>
          <xdr:cNvSpPr/>
        </xdr:nvSpPr>
        <xdr:spPr>
          <a:xfrm>
            <a:off x="618035" y="838200"/>
            <a:ext cx="4320000" cy="54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6">
        <xdr:nvSpPr>
          <xdr:cNvPr id="13" name="TextBox 12">
            <a:extLst>
              <a:ext uri="{FF2B5EF4-FFF2-40B4-BE49-F238E27FC236}">
                <a16:creationId xmlns:a16="http://schemas.microsoft.com/office/drawing/2014/main" id="{00000000-0008-0000-0300-00000D000000}"/>
              </a:ext>
            </a:extLst>
          </xdr:cNvPr>
          <xdr:cNvSpPr txBox="1"/>
        </xdr:nvSpPr>
        <xdr:spPr>
          <a:xfrm>
            <a:off x="647700" y="936750"/>
            <a:ext cx="4276725"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i="0" u="none" strike="noStrike">
                <a:solidFill>
                  <a:schemeClr val="bg1"/>
                </a:solidFill>
                <a:latin typeface="Avenir Next LT Pro"/>
                <a:cs typeface="Arial"/>
              </a:rPr>
              <a:t>Regional </a:t>
            </a:r>
            <a:fld id="{F5410F25-25F5-4B3E-BA05-22E01006A505}" type="TxLink">
              <a:rPr lang="en-US" sz="1600" b="0" i="0" u="none" strike="noStrike">
                <a:solidFill>
                  <a:schemeClr val="bg1"/>
                </a:solidFill>
                <a:latin typeface="Avenir Next LT Pro"/>
                <a:cs typeface="Arial"/>
              </a:rPr>
              <a:pPr algn="ctr"/>
              <a:t>Distribution of the All other Cost</a:t>
            </a:fld>
            <a:endParaRPr lang="en-CA" sz="1600">
              <a:solidFill>
                <a:schemeClr val="bg1"/>
              </a:solidFill>
              <a:latin typeface="Avenir Next LT Pro" panose="020B0504020202020204" pitchFamily="34" charset="0"/>
            </a:endParaRPr>
          </a:p>
        </xdr:txBody>
      </xdr:sp>
    </xdr:grpSp>
    <xdr:clientData/>
  </xdr:twoCellAnchor>
  <xdr:twoCellAnchor>
    <xdr:from>
      <xdr:col>1</xdr:col>
      <xdr:colOff>8437</xdr:colOff>
      <xdr:row>21</xdr:row>
      <xdr:rowOff>95250</xdr:rowOff>
    </xdr:from>
    <xdr:to>
      <xdr:col>4</xdr:col>
      <xdr:colOff>249637</xdr:colOff>
      <xdr:row>29</xdr:row>
      <xdr:rowOff>149850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18037" y="3495675"/>
          <a:ext cx="2070000" cy="1350000"/>
          <a:chOff x="962024" y="3276600"/>
          <a:chExt cx="2070000" cy="1350000"/>
        </a:xfrm>
      </xdr:grpSpPr>
      <xdr:sp macro="" textlink="">
        <xdr:nvSpPr>
          <xdr:cNvPr id="205" name="Rectangle: Rounded Corners 204">
            <a:extLst>
              <a:ext uri="{FF2B5EF4-FFF2-40B4-BE49-F238E27FC236}">
                <a16:creationId xmlns:a16="http://schemas.microsoft.com/office/drawing/2014/main" id="{00000000-0008-0000-0300-0000CD000000}"/>
              </a:ext>
            </a:extLst>
          </xdr:cNvPr>
          <xdr:cNvSpPr/>
        </xdr:nvSpPr>
        <xdr:spPr>
          <a:xfrm>
            <a:off x="96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7">
        <xdr:nvSpPr>
          <xdr:cNvPr id="39" name="TextBox 38">
            <a:extLst>
              <a:ext uri="{FF2B5EF4-FFF2-40B4-BE49-F238E27FC236}">
                <a16:creationId xmlns:a16="http://schemas.microsoft.com/office/drawing/2014/main" id="{00000000-0008-0000-0300-000027000000}"/>
              </a:ext>
            </a:extLst>
          </xdr:cNvPr>
          <xdr:cNvSpPr txBox="1"/>
        </xdr:nvSpPr>
        <xdr:spPr>
          <a:xfrm>
            <a:off x="1054049" y="3553801"/>
            <a:ext cx="1885950"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4067C53-E063-4E06-9F36-0100CEE2FD54}" type="TxLink">
              <a:rPr lang="en-US" sz="1400" b="0" i="0" u="none" strike="noStrike">
                <a:solidFill>
                  <a:schemeClr val="bg1"/>
                </a:solidFill>
                <a:latin typeface="Avenir Next LT Pro"/>
                <a:cs typeface="Arial"/>
              </a:rPr>
              <a:pPr algn="ctr"/>
              <a:t>Total Sales</a:t>
            </a:fld>
            <a:endParaRPr lang="en-US" sz="1400" b="0" i="0" u="none" strike="noStrike">
              <a:solidFill>
                <a:schemeClr val="bg1"/>
              </a:solidFill>
              <a:latin typeface="Avenir Next LT Pro Light" panose="020B0304020202020204" pitchFamily="34" charset="0"/>
              <a:cs typeface="+mn-cs"/>
            </a:endParaRPr>
          </a:p>
        </xdr:txBody>
      </xdr:sp>
      <xdr:sp macro="" textlink="Pivot_tables!AB55">
        <xdr:nvSpPr>
          <xdr:cNvPr id="40" name="TextBox 39">
            <a:extLst>
              <a:ext uri="{FF2B5EF4-FFF2-40B4-BE49-F238E27FC236}">
                <a16:creationId xmlns:a16="http://schemas.microsoft.com/office/drawing/2014/main" id="{00000000-0008-0000-0300-000028000000}"/>
              </a:ext>
            </a:extLst>
          </xdr:cNvPr>
          <xdr:cNvSpPr txBox="1"/>
        </xdr:nvSpPr>
        <xdr:spPr>
          <a:xfrm>
            <a:off x="1047751" y="3865096"/>
            <a:ext cx="1885950"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EB44A4B-837D-4A17-A264-A1CF0F14684E}" type="TxLink">
              <a:rPr lang="en-US" sz="2400" b="0" i="0" u="none" strike="noStrike">
                <a:solidFill>
                  <a:schemeClr val="bg1"/>
                </a:solidFill>
                <a:latin typeface="Avenir Next LT Pro"/>
                <a:cs typeface="Arial"/>
              </a:rPr>
              <a:pPr algn="ctr"/>
              <a:t>$1,881,525</a:t>
            </a:fld>
            <a:endParaRPr lang="en-US" sz="48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4</xdr:col>
      <xdr:colOff>429637</xdr:colOff>
      <xdr:row>21</xdr:row>
      <xdr:rowOff>95250</xdr:rowOff>
    </xdr:from>
    <xdr:to>
      <xdr:col>8</xdr:col>
      <xdr:colOff>61237</xdr:colOff>
      <xdr:row>29</xdr:row>
      <xdr:rowOff>149850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2868037" y="3495675"/>
          <a:ext cx="2070000" cy="1350000"/>
          <a:chOff x="3212024" y="3276600"/>
          <a:chExt cx="2070000" cy="1350000"/>
        </a:xfrm>
      </xdr:grpSpPr>
      <xdr:sp macro="" textlink="">
        <xdr:nvSpPr>
          <xdr:cNvPr id="206" name="Rectangle: Rounded Corners 205">
            <a:extLst>
              <a:ext uri="{FF2B5EF4-FFF2-40B4-BE49-F238E27FC236}">
                <a16:creationId xmlns:a16="http://schemas.microsoft.com/office/drawing/2014/main" id="{00000000-0008-0000-0300-0000CE000000}"/>
              </a:ext>
            </a:extLst>
          </xdr:cNvPr>
          <xdr:cNvSpPr/>
        </xdr:nvSpPr>
        <xdr:spPr>
          <a:xfrm>
            <a:off x="321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3437399" y="3553801"/>
            <a:ext cx="1619250" cy="340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bg1"/>
                </a:solidFill>
                <a:latin typeface="Avenir Next LT Pro Light" panose="020B0304020202020204" pitchFamily="34" charset="0"/>
                <a:cs typeface="+mn-cs"/>
              </a:rPr>
              <a:t>Average Per</a:t>
            </a:r>
            <a:r>
              <a:rPr lang="en-US" sz="1400" b="0" i="0" u="none" strike="noStrike" baseline="0">
                <a:solidFill>
                  <a:schemeClr val="bg1"/>
                </a:solidFill>
                <a:latin typeface="Avenir Next LT Pro Light" panose="020B0304020202020204" pitchFamily="34" charset="0"/>
                <a:cs typeface="+mn-cs"/>
              </a:rPr>
              <a:t> </a:t>
            </a:r>
            <a:r>
              <a:rPr lang="en-US" sz="1400" b="0" i="0" u="none" strike="noStrike">
                <a:solidFill>
                  <a:schemeClr val="bg1"/>
                </a:solidFill>
                <a:latin typeface="Avenir Next LT Pro Light" panose="020B0304020202020204" pitchFamily="34" charset="0"/>
                <a:cs typeface="+mn-cs"/>
              </a:rPr>
              <a:t>State</a:t>
            </a:r>
          </a:p>
        </xdr:txBody>
      </xdr:sp>
      <xdr:sp macro="" textlink="Pivot_tables!AB56">
        <xdr:nvSpPr>
          <xdr:cNvPr id="14" name="TextBox 13">
            <a:extLst>
              <a:ext uri="{FF2B5EF4-FFF2-40B4-BE49-F238E27FC236}">
                <a16:creationId xmlns:a16="http://schemas.microsoft.com/office/drawing/2014/main" id="{00000000-0008-0000-0300-00000E000000}"/>
              </a:ext>
            </a:extLst>
          </xdr:cNvPr>
          <xdr:cNvSpPr txBox="1"/>
        </xdr:nvSpPr>
        <xdr:spPr>
          <a:xfrm>
            <a:off x="3324225" y="3865096"/>
            <a:ext cx="1838325"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85F78F2F-F834-4128-8E48-201583416BE4}" type="TxLink">
              <a:rPr lang="en-US" sz="2400" b="0" i="0" u="none" strike="noStrike">
                <a:solidFill>
                  <a:schemeClr val="bg1"/>
                </a:solidFill>
                <a:effectLst/>
                <a:latin typeface="Avenir Next LT Pro"/>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 38,398 </a:t>
            </a:fld>
            <a:endParaRPr lang="en-US" sz="24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1</xdr:col>
      <xdr:colOff>8437</xdr:colOff>
      <xdr:row>9</xdr:row>
      <xdr:rowOff>123824</xdr:rowOff>
    </xdr:from>
    <xdr:to>
      <xdr:col>4</xdr:col>
      <xdr:colOff>361950</xdr:colOff>
      <xdr:row>20</xdr:row>
      <xdr:rowOff>70649</xdr:rowOff>
    </xdr:to>
    <xdr:grpSp>
      <xdr:nvGrpSpPr>
        <xdr:cNvPr id="61" name="Group 60">
          <a:extLst>
            <a:ext uri="{FF2B5EF4-FFF2-40B4-BE49-F238E27FC236}">
              <a16:creationId xmlns:a16="http://schemas.microsoft.com/office/drawing/2014/main" id="{00000000-0008-0000-0300-00003D000000}"/>
            </a:ext>
          </a:extLst>
        </xdr:cNvPr>
        <xdr:cNvGrpSpPr/>
      </xdr:nvGrpSpPr>
      <xdr:grpSpPr>
        <a:xfrm>
          <a:off x="618037" y="1581149"/>
          <a:ext cx="2182313" cy="1728000"/>
          <a:chOff x="741862" y="1743074"/>
          <a:chExt cx="2182313" cy="1728000"/>
        </a:xfrm>
      </xdr:grpSpPr>
      <xdr:sp macro="" textlink="">
        <xdr:nvSpPr>
          <xdr:cNvPr id="27" name="Rectangle: Rounded Corners 26">
            <a:extLst>
              <a:ext uri="{FF2B5EF4-FFF2-40B4-BE49-F238E27FC236}">
                <a16:creationId xmlns:a16="http://schemas.microsoft.com/office/drawing/2014/main" id="{00000000-0008-0000-0300-00001B000000}"/>
              </a:ext>
            </a:extLst>
          </xdr:cNvPr>
          <xdr:cNvSpPr/>
        </xdr:nvSpPr>
        <xdr:spPr>
          <a:xfrm>
            <a:off x="741862" y="1743074"/>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20" name="TextBox 19">
            <a:extLst>
              <a:ext uri="{FF2B5EF4-FFF2-40B4-BE49-F238E27FC236}">
                <a16:creationId xmlns:a16="http://schemas.microsoft.com/office/drawing/2014/main" id="{00000000-0008-0000-0300-000014000000}"/>
              </a:ext>
            </a:extLst>
          </xdr:cNvPr>
          <xdr:cNvSpPr txBox="1"/>
        </xdr:nvSpPr>
        <xdr:spPr>
          <a:xfrm>
            <a:off x="848175" y="1871662"/>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Select Map Matrix</a:t>
            </a:r>
            <a:endParaRPr lang="en-CA" sz="1400" u="none">
              <a:solidFill>
                <a:srgbClr val="D43260"/>
              </a:solidFill>
              <a:latin typeface="Avenir Next LT Pro" panose="020B0504020202020204" pitchFamily="34" charset="0"/>
            </a:endParaRPr>
          </a:p>
        </xdr:txBody>
      </xdr:sp>
      <xdr:grpSp>
        <xdr:nvGrpSpPr>
          <xdr:cNvPr id="60" name="Group 59">
            <a:extLst>
              <a:ext uri="{FF2B5EF4-FFF2-40B4-BE49-F238E27FC236}">
                <a16:creationId xmlns:a16="http://schemas.microsoft.com/office/drawing/2014/main" id="{00000000-0008-0000-0300-00003C000000}"/>
              </a:ext>
            </a:extLst>
          </xdr:cNvPr>
          <xdr:cNvGrpSpPr/>
        </xdr:nvGrpSpPr>
        <xdr:grpSpPr>
          <a:xfrm>
            <a:off x="1189539" y="2166937"/>
            <a:ext cx="1734636" cy="1185863"/>
            <a:chOff x="1189539" y="2166937"/>
            <a:chExt cx="1734636" cy="1185863"/>
          </a:xfrm>
        </xdr:grpSpPr>
        <xdr:sp macro="" textlink="Pivot_tables!AI32">
          <xdr:nvSpPr>
            <xdr:cNvPr id="22" name="TextBox 21">
              <a:extLst>
                <a:ext uri="{FF2B5EF4-FFF2-40B4-BE49-F238E27FC236}">
                  <a16:creationId xmlns:a16="http://schemas.microsoft.com/office/drawing/2014/main" id="{00000000-0008-0000-0300-000016000000}"/>
                </a:ext>
              </a:extLst>
            </xdr:cNvPr>
            <xdr:cNvSpPr txBox="1"/>
          </xdr:nvSpPr>
          <xdr:spPr>
            <a:xfrm>
              <a:off x="1189539" y="2166937"/>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Cumulative Cost</a:t>
              </a:r>
              <a:endParaRPr lang="en-CA" sz="1200">
                <a:solidFill>
                  <a:schemeClr val="bg1"/>
                </a:solidFill>
                <a:latin typeface="Avenir Next LT Pro" panose="020B0504020202020204" pitchFamily="34" charset="0"/>
              </a:endParaRPr>
            </a:p>
          </xdr:txBody>
        </xdr:sp>
        <xdr:sp macro="" textlink="Pivot_tables!AI32">
          <xdr:nvSpPr>
            <xdr:cNvPr id="23" name="TextBox 22">
              <a:extLst>
                <a:ext uri="{FF2B5EF4-FFF2-40B4-BE49-F238E27FC236}">
                  <a16:creationId xmlns:a16="http://schemas.microsoft.com/office/drawing/2014/main" id="{00000000-0008-0000-0300-000017000000}"/>
                </a:ext>
              </a:extLst>
            </xdr:cNvPr>
            <xdr:cNvSpPr txBox="1"/>
          </xdr:nvSpPr>
          <xdr:spPr>
            <a:xfrm>
              <a:off x="1189539" y="246221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Shipping Cost</a:t>
              </a:r>
              <a:endParaRPr lang="en-CA" sz="1200">
                <a:solidFill>
                  <a:schemeClr val="bg1"/>
                </a:solidFill>
                <a:latin typeface="Avenir Next LT Pro" panose="020B0504020202020204" pitchFamily="34" charset="0"/>
              </a:endParaRPr>
            </a:p>
          </xdr:txBody>
        </xdr:sp>
        <xdr:sp macro="" textlink="Pivot_tables!AI32">
          <xdr:nvSpPr>
            <xdr:cNvPr id="24" name="TextBox 23">
              <a:extLst>
                <a:ext uri="{FF2B5EF4-FFF2-40B4-BE49-F238E27FC236}">
                  <a16:creationId xmlns:a16="http://schemas.microsoft.com/office/drawing/2014/main" id="{00000000-0008-0000-0300-000018000000}"/>
                </a:ext>
              </a:extLst>
            </xdr:cNvPr>
            <xdr:cNvSpPr txBox="1"/>
          </xdr:nvSpPr>
          <xdr:spPr>
            <a:xfrm>
              <a:off x="1189539" y="27479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Net Profit</a:t>
              </a:r>
              <a:endParaRPr lang="en-CA" sz="1200">
                <a:solidFill>
                  <a:schemeClr val="bg1"/>
                </a:solidFill>
                <a:latin typeface="Avenir Next LT Pro" panose="020B0504020202020204" pitchFamily="34" charset="0"/>
              </a:endParaRPr>
            </a:p>
          </xdr:txBody>
        </xdr:sp>
        <xdr:sp macro="" textlink="Pivot_tables!AI32">
          <xdr:nvSpPr>
            <xdr:cNvPr id="28" name="TextBox 27">
              <a:extLst>
                <a:ext uri="{FF2B5EF4-FFF2-40B4-BE49-F238E27FC236}">
                  <a16:creationId xmlns:a16="http://schemas.microsoft.com/office/drawing/2014/main" id="{00000000-0008-0000-0300-00001C000000}"/>
                </a:ext>
              </a:extLst>
            </xdr:cNvPr>
            <xdr:cNvSpPr txBox="1"/>
          </xdr:nvSpPr>
          <xdr:spPr>
            <a:xfrm>
              <a:off x="1189539" y="30527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Total</a:t>
              </a:r>
              <a:r>
                <a:rPr lang="en-US" sz="1200" b="0" i="0" u="none" strike="noStrike" baseline="0">
                  <a:solidFill>
                    <a:schemeClr val="bg1"/>
                  </a:solidFill>
                  <a:latin typeface="Avenir Next LT Pro" panose="020B0504020202020204" pitchFamily="34" charset="0"/>
                  <a:cs typeface="Arial"/>
                </a:rPr>
                <a:t> Sales</a:t>
              </a:r>
              <a:endParaRPr lang="en-CA" sz="1200">
                <a:solidFill>
                  <a:schemeClr val="bg1"/>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18" name="Group 17">
                <a:extLst>
                  <a:ext uri="{FF2B5EF4-FFF2-40B4-BE49-F238E27FC236}">
                    <a16:creationId xmlns:a16="http://schemas.microsoft.com/office/drawing/2014/main" id="{00000000-0008-0000-0300-000012000000}"/>
                  </a:ext>
                </a:extLst>
              </xdr:cNvPr>
              <xdr:cNvGrpSpPr/>
            </xdr:nvGrpSpPr>
            <xdr:grpSpPr>
              <a:xfrm>
                <a:off x="1014862" y="2199000"/>
                <a:ext cx="1524000" cy="1115700"/>
                <a:chOff x="1235024" y="2160900"/>
                <a:chExt cx="1524000" cy="1115700"/>
              </a:xfrm>
            </xdr:grpSpPr>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1235024" y="21609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8" name="Option Button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235024" y="2451413"/>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235024" y="27324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0" name="Option 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1235024" y="3019425"/>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4</xdr:col>
      <xdr:colOff>429637</xdr:colOff>
      <xdr:row>9</xdr:row>
      <xdr:rowOff>123825</xdr:rowOff>
    </xdr:from>
    <xdr:to>
      <xdr:col>8</xdr:col>
      <xdr:colOff>61237</xdr:colOff>
      <xdr:row>20</xdr:row>
      <xdr:rowOff>70650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2868037" y="1581150"/>
          <a:ext cx="2070000" cy="1728000"/>
          <a:chOff x="2991862" y="1695450"/>
          <a:chExt cx="2070000" cy="1728000"/>
        </a:xfrm>
      </xdr:grpSpPr>
      <xdr:sp macro="" textlink="">
        <xdr:nvSpPr>
          <xdr:cNvPr id="194" name="Rectangle: Rounded Corners 193">
            <a:extLst>
              <a:ext uri="{FF2B5EF4-FFF2-40B4-BE49-F238E27FC236}">
                <a16:creationId xmlns:a16="http://schemas.microsoft.com/office/drawing/2014/main" id="{00000000-0008-0000-0300-0000C2000000}"/>
              </a:ext>
            </a:extLst>
          </xdr:cNvPr>
          <xdr:cNvSpPr/>
        </xdr:nvSpPr>
        <xdr:spPr>
          <a:xfrm>
            <a:off x="2991862" y="1695450"/>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31" name="TextBox 30">
            <a:extLst>
              <a:ext uri="{FF2B5EF4-FFF2-40B4-BE49-F238E27FC236}">
                <a16:creationId xmlns:a16="http://schemas.microsoft.com/office/drawing/2014/main" id="{00000000-0008-0000-0300-00001F000000}"/>
              </a:ext>
            </a:extLst>
          </xdr:cNvPr>
          <xdr:cNvSpPr txBox="1"/>
        </xdr:nvSpPr>
        <xdr:spPr>
          <a:xfrm>
            <a:off x="3098175" y="1838325"/>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Filters</a:t>
            </a:r>
            <a:endParaRPr lang="en-CA" sz="1400" u="none">
              <a:solidFill>
                <a:srgbClr val="D43260"/>
              </a:solidFill>
              <a:latin typeface="Avenir Next LT Pro" panose="020B0504020202020204" pitchFamily="34" charset="0"/>
            </a:endParaRPr>
          </a:p>
        </xdr:txBody>
      </xdr:sp>
    </xdr:grpSp>
    <xdr:clientData/>
  </xdr:twoCellAnchor>
  <xdr:twoCellAnchor>
    <xdr:from>
      <xdr:col>4</xdr:col>
      <xdr:colOff>555112</xdr:colOff>
      <xdr:row>12</xdr:row>
      <xdr:rowOff>23850</xdr:rowOff>
    </xdr:from>
    <xdr:to>
      <xdr:col>7</xdr:col>
      <xdr:colOff>526312</xdr:colOff>
      <xdr:row>19</xdr:row>
      <xdr:rowOff>78375</xdr:rowOff>
    </xdr:to>
    <mc:AlternateContent xmlns:mc="http://schemas.openxmlformats.org/markup-compatibility/2006" xmlns:a14="http://schemas.microsoft.com/office/drawing/2010/main">
      <mc:Choice Requires="a14">
        <xdr:graphicFrame macro="">
          <xdr:nvGraphicFramePr>
            <xdr:cNvPr id="184" name="Product Category 2">
              <a:extLst>
                <a:ext uri="{FF2B5EF4-FFF2-40B4-BE49-F238E27FC236}">
                  <a16:creationId xmlns:a16="http://schemas.microsoft.com/office/drawing/2014/main" id="{00000000-0008-0000-0300-0000B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2993512" y="1966950"/>
              <a:ext cx="1800000" cy="1188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9525</xdr:colOff>
      <xdr:row>0</xdr:row>
      <xdr:rowOff>0</xdr:rowOff>
    </xdr:from>
    <xdr:to>
      <xdr:col>37</xdr:col>
      <xdr:colOff>371475</xdr:colOff>
      <xdr:row>3</xdr:row>
      <xdr:rowOff>95250</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9525" y="0"/>
          <a:ext cx="22917150" cy="581025"/>
          <a:chOff x="0" y="0"/>
          <a:chExt cx="22917150" cy="581025"/>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0" y="0"/>
            <a:ext cx="22917150" cy="581025"/>
            <a:chOff x="0" y="0"/>
            <a:chExt cx="22917150" cy="581025"/>
          </a:xfrm>
        </xdr:grpSpPr>
        <xdr:sp macro="" textlink="">
          <xdr:nvSpPr>
            <xdr:cNvPr id="4103" name="Rectangle 4102">
              <a:extLst>
                <a:ext uri="{FF2B5EF4-FFF2-40B4-BE49-F238E27FC236}">
                  <a16:creationId xmlns:a16="http://schemas.microsoft.com/office/drawing/2014/main" id="{00000000-0008-0000-0300-0000071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4104" name="Picture 4103" descr="Superstore - NBC.com">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4105" name="TextBox 4104">
              <a:hlinkClick xmlns:r="http://schemas.openxmlformats.org/officeDocument/2006/relationships" r:id="rId5" tooltip="Distribution"/>
              <a:extLst>
                <a:ext uri="{FF2B5EF4-FFF2-40B4-BE49-F238E27FC236}">
                  <a16:creationId xmlns:a16="http://schemas.microsoft.com/office/drawing/2014/main" id="{00000000-0008-0000-0300-0000091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4107" name="TextBox 4106">
              <a:hlinkClick xmlns:r="http://schemas.openxmlformats.org/officeDocument/2006/relationships" r:id="rId6" tooltip="Sales &amp; Profit"/>
              <a:extLst>
                <a:ext uri="{FF2B5EF4-FFF2-40B4-BE49-F238E27FC236}">
                  <a16:creationId xmlns:a16="http://schemas.microsoft.com/office/drawing/2014/main" id="{00000000-0008-0000-0300-00000B1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4116" name="TextBox 4115">
              <a:hlinkClick xmlns:r="http://schemas.openxmlformats.org/officeDocument/2006/relationships" r:id="rId7" tooltip="Trends"/>
              <a:extLst>
                <a:ext uri="{FF2B5EF4-FFF2-40B4-BE49-F238E27FC236}">
                  <a16:creationId xmlns:a16="http://schemas.microsoft.com/office/drawing/2014/main" id="{00000000-0008-0000-0300-0000141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4117" name="TextBox 4116">
              <a:extLst>
                <a:ext uri="{FF2B5EF4-FFF2-40B4-BE49-F238E27FC236}">
                  <a16:creationId xmlns:a16="http://schemas.microsoft.com/office/drawing/2014/main" id="{00000000-0008-0000-0300-0000151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4118" name="Rectangle: Rounded Corners 4117">
              <a:extLst>
                <a:ext uri="{FF2B5EF4-FFF2-40B4-BE49-F238E27FC236}">
                  <a16:creationId xmlns:a16="http://schemas.microsoft.com/office/drawing/2014/main" id="{00000000-0008-0000-0300-000016100000}"/>
                </a:ext>
              </a:extLst>
            </xdr:cNvPr>
            <xdr:cNvSpPr/>
          </xdr:nvSpPr>
          <xdr:spPr>
            <a:xfrm>
              <a:off x="139915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119" name="TextBox 4118">
              <a:hlinkClick xmlns:r="http://schemas.openxmlformats.org/officeDocument/2006/relationships" r:id="rId8" tooltip="Sales Map"/>
              <a:extLst>
                <a:ext uri="{FF2B5EF4-FFF2-40B4-BE49-F238E27FC236}">
                  <a16:creationId xmlns:a16="http://schemas.microsoft.com/office/drawing/2014/main" id="{00000000-0008-0000-0300-0000171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62" name="Picture 61">
            <a:hlinkClick xmlns:r="http://schemas.openxmlformats.org/officeDocument/2006/relationships" r:id="rId9"/>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24</xdr:col>
      <xdr:colOff>180975</xdr:colOff>
      <xdr:row>53</xdr:row>
      <xdr:rowOff>104775</xdr:rowOff>
    </xdr:from>
    <xdr:to>
      <xdr:col>28</xdr:col>
      <xdr:colOff>590550</xdr:colOff>
      <xdr:row>55</xdr:row>
      <xdr:rowOff>104775</xdr:rowOff>
    </xdr:to>
    <xdr:sp macro="" textlink="">
      <xdr:nvSpPr>
        <xdr:cNvPr id="4101" name="TextBox 4100">
          <a:extLst>
            <a:ext uri="{FF2B5EF4-FFF2-40B4-BE49-F238E27FC236}">
              <a16:creationId xmlns:a16="http://schemas.microsoft.com/office/drawing/2014/main" id="{00000000-0008-0000-0300-000005100000}"/>
            </a:ext>
          </a:extLst>
        </xdr:cNvPr>
        <xdr:cNvSpPr txBox="1"/>
      </xdr:nvSpPr>
      <xdr:spPr>
        <a:xfrm>
          <a:off x="14811375" y="8686800"/>
          <a:ext cx="2847975" cy="32385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u="none" strike="noStrike">
              <a:solidFill>
                <a:schemeClr val="bg1"/>
              </a:solidFill>
              <a:latin typeface="Avenir Next LT Pro" panose="020B0504020202020204" pitchFamily="34" charset="0"/>
              <a:cs typeface="+mn-cs"/>
            </a:rPr>
            <a:t>Regional Sales of each product category</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34634027774" backgroundQuery="1" createdVersion="8" refreshedVersion="8" minRefreshableVersion="3" recordCount="0" supportSubquery="1" supportAdvancedDrill="1" xr:uid="{AE6A2F22-CA16-4066-B68E-57CA3556E95D}">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384257" backgroundQuery="1" createdVersion="8" refreshedVersion="8" minRefreshableVersion="3" recordCount="0" supportSubquery="1" supportAdvancedDrill="1" xr:uid="{A64C017E-31DE-4DEC-A63A-7088F855994B}">
  <cacheSource type="external" connectionId="1"/>
  <cacheFields count="6">
    <cacheField name="[Table_1].[Order Date (Month)].[Order Date (Month)]" caption="Order Date (Month)" numFmtId="0" hierarchy="30" level="1">
      <sharedItems count="6">
        <s v="Jan"/>
        <s v="Feb"/>
        <s v="Mar"/>
        <s v="Apr"/>
        <s v="May"/>
        <s v="Jun"/>
      </sharedItems>
    </cacheField>
    <cacheField name="[Table_1].[Order Date].[Order Date]" caption="Order Date" numFmtId="0" hierarchy="18" level="1">
      <sharedItems containsSemiMixedTypes="0" containsNonDate="0" containsDate="1" containsString="0" minDate="2015-01-01T00:00:00" maxDate="2015-07-01T00:00:00" count="179">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5"/>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2" memberValueDatatype="7" unbalanced="0">
      <fieldsUsage count="2">
        <fieldUsage x="-1"/>
        <fieldUsage x="1"/>
      </fieldsUsage>
    </cacheHierarchy>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4"/>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73148" backgroundQuery="1" createdVersion="8" refreshedVersion="8" minRefreshableVersion="3" recordCount="0" supportSubquery="1" supportAdvancedDrill="1" xr:uid="{5FBC046E-FB2C-4F0D-BC53-17414D36FF13}">
  <cacheSource type="external" connectionId="1"/>
  <cacheFields count="5">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Manager].[Manager]" caption="Manager" numFmtId="0" hierarchy="25" level="1">
      <sharedItems count="4">
        <s v="Chris"/>
        <s v="Erin"/>
        <s v="Sam"/>
        <s v="William"/>
      </sharedItems>
    </cacheField>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2" memberValueDatatype="20" unbalanced="0"/>
    <cacheHierarchy uniqueName="[Table_1].[Customer Name]" caption="Customer Name" attribute="1" defaultMemberUniqueName="[Table_1].[Customer Name].[All]" allUniqueName="[Table_1].[Customer Name].[All]" dimensionUniqueName="[Table_1]" displayFolder="" count="2"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2" memberValueDatatype="5" unbalanced="0"/>
    <cacheHierarchy uniqueName="[Table_1].[Unit Price]" caption="Unit Price" attribute="1" defaultMemberUniqueName="[Table_1].[Unit Price].[All]" allUniqueName="[Table_1].[Unit Price].[All]" dimensionUniqueName="[Table_1]" displayFolder="" count="2" memberValueDatatype="5" unbalanced="0"/>
    <cacheHierarchy uniqueName="[Table_1].[Shipping Cost]" caption="Shipping Cost" attribute="1" defaultMemberUniqueName="[Table_1].[Shipping Cost].[All]" allUniqueName="[Table_1].[Shipping Cost].[All]" dimensionUniqueName="[Table_1]" displayFolder="" count="2" memberValueDatatype="5" unbalanced="0"/>
    <cacheHierarchy uniqueName="[Table_1].[Ship Mode]" caption="Ship Mode" attribute="1" defaultMemberUniqueName="[Table_1].[Ship Mode].[All]" allUniqueName="[Table_1].[Ship Mode].[All]" dimensionUniqueName="[Table_1]" displayFolder="" count="2"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2" memberValueDatatype="130" unbalanced="0"/>
    <cacheHierarchy uniqueName="[Table_1].[Product Name]" caption="Product Name" attribute="1" defaultMemberUniqueName="[Table_1].[Product Name].[All]" allUniqueName="[Table_1].[Product Name].[All]" dimensionUniqueName="[Table_1]" displayFolder="" count="2" memberValueDatatype="130" unbalanced="0"/>
    <cacheHierarchy uniqueName="[Table_1].[Product Base Margin]" caption="Product Base Margin" attribute="1" defaultMemberUniqueName="[Table_1].[Product Base Margin].[All]" allUniqueName="[Table_1].[Product Base Margin].[All]" dimensionUniqueName="[Table_1]" displayFolder="" count="2" memberValueDatatype="5" unbalanced="0"/>
    <cacheHierarchy uniqueName="[Table_1].[Country]" caption="Country" attribute="1" defaultMemberUniqueName="[Table_1].[Country].[All]" allUniqueName="[Table_1].[Country].[All]" dimensionUniqueName="[Table_1]" displayFolder="" count="2" memberValueDatatype="130" unbalanced="0"/>
    <cacheHierarchy uniqueName="[Table_1].[Region]" caption="Region" attribute="1" defaultMemberUniqueName="[Table_1].[Region].[All]" allUniqueName="[Table_1].[Region].[All]" dimensionUniqueName="[Table_1]" displayFolder="" count="2"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cacheHierarchy uniqueName="[Table_1].[City]" caption="City" attribute="1" defaultMemberUniqueName="[Table_1].[City].[All]" allUniqueName="[Table_1].[City].[All]" dimensionUniqueName="[Table_1]" displayFolder="" count="2" memberValueDatatype="130" unbalanced="0"/>
    <cacheHierarchy uniqueName="[Table_1].[Postal Code]" caption="Postal Code" attribute="1" defaultMemberUniqueName="[Table_1].[Postal Code].[All]" allUniqueName="[Table_1].[Postal Code].[All]" dimensionUniqueName="[Table_1]" displayFolder="" count="2" memberValueDatatype="20" unbalanced="0"/>
    <cacheHierarchy uniqueName="[Table_1].[Order Date]" caption="Order Date" attribute="1" time="1" defaultMemberUniqueName="[Table_1].[Order Date].[All]" allUniqueName="[Table_1].[Order Date].[All]" dimensionUniqueName="[Table_1]" displayFolder="" count="2" memberValueDatatype="7" unbalanced="0"/>
    <cacheHierarchy uniqueName="[Table_1].[Ship Date]" caption="Ship Date" attribute="1" time="1" defaultMemberUniqueName="[Table_1].[Ship Date].[All]" allUniqueName="[Table_1].[Ship Date].[All]" dimensionUniqueName="[Table_1]" displayFolder="" count="2" memberValueDatatype="7" unbalanced="0"/>
    <cacheHierarchy uniqueName="[Table_1].[Profit]" caption="Profit" attribute="1" defaultMemberUniqueName="[Table_1].[Profit].[All]" allUniqueName="[Table_1].[Profit].[All]" dimensionUniqueName="[Table_1]" displayFolder="" count="2" memberValueDatatype="5" unbalanced="0"/>
    <cacheHierarchy uniqueName="[Table_1].[Quantity ordered new]" caption="Quantity ordered new" attribute="1" defaultMemberUniqueName="[Table_1].[Quantity ordered new].[All]" allUniqueName="[Table_1].[Quantity ordered new].[All]" dimensionUniqueName="[Table_1]" displayFolder="" count="2" memberValueDatatype="20" unbalanced="0"/>
    <cacheHierarchy uniqueName="[Table_1].[Sales]" caption="Sales" attribute="1" defaultMemberUniqueName="[Table_1].[Sales].[All]" allUniqueName="[Table_1].[Sales].[All]" dimensionUniqueName="[Table_1]" displayFolder="" count="2" memberValueDatatype="5" unbalanced="0"/>
    <cacheHierarchy uniqueName="[Table_1].[Order ID]" caption="Order ID" attribute="1" defaultMemberUniqueName="[Table_1].[Order ID].[All]" allUniqueName="[Table_1].[Order ID].[All]" dimensionUniqueName="[Table_1]" displayFolder="" count="2" memberValueDatatype="20" unbalanced="0"/>
    <cacheHierarchy uniqueName="[Table_1].[Total]" caption="Total" attribute="1" defaultMemberUniqueName="[Table_1].[Total].[All]" allUniqueName="[Table_1].[Total].[All]" dimensionUniqueName="[Table_1]" displayFolder="" count="2" memberValueDatatype="5" unbalanced="0"/>
    <cacheHierarchy uniqueName="[Table_1].[Manager]" caption="Manager" attribute="1" defaultMemberUniqueName="[Table_1].[Manager].[All]" allUniqueName="[Table_1].[Manager].[All]" dimensionUniqueName="[Table_1]" displayFolder="" count="2" memberValueDatatype="130" unbalanced="0">
      <fieldsUsage count="2">
        <fieldUsage x="-1"/>
        <fieldUsage x="3"/>
      </fieldsUsage>
    </cacheHierarchy>
    <cacheHierarchy uniqueName="[Table_1].[Dollar Discount]" caption="Dollar Discount" attribute="1" defaultMemberUniqueName="[Table_1].[Dollar Discount].[All]" allUniqueName="[Table_1].[Dollar Discount].[All]" dimensionUniqueName="[Table_1]" displayFolder="" count="2" memberValueDatatype="5" unbalanced="0"/>
    <cacheHierarchy uniqueName="[Table_1].[Gross Cost]" caption="Gross Cost" attribute="1" defaultMemberUniqueName="[Table_1].[Gross Cost].[All]" allUniqueName="[Table_1].[Gross Cost].[All]" dimensionUniqueName="[Table_1]" displayFolder="" count="2" memberValueDatatype="5" unbalanced="0"/>
    <cacheHierarchy uniqueName="[Table_1].[Gross Profit]" caption="Gross Profit" attribute="1" defaultMemberUniqueName="[Table_1].[Gross Profit].[All]" allUniqueName="[Table_1].[Gross Profit].[All]" dimensionUniqueName="[Table_1]" displayFolder="" count="2" memberValueDatatype="5" unbalanced="0"/>
    <cacheHierarchy uniqueName="[Table_1].[Cumulative cost]" caption="Cumulative cost" attribute="1" defaultMemberUniqueName="[Table_1].[Cumulative cost].[All]" allUniqueName="[Table_1].[Cumulative cost].[All]" dimensionUniqueName="[Table_1]" displayFolder="" count="2"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2"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962965" backgroundQuery="1" createdVersion="8" refreshedVersion="8" minRefreshableVersion="3" recordCount="0" supportSubquery="1" supportAdvancedDrill="1" xr:uid="{1CFE1DCE-BA7F-4A57-960A-BB3853FDB87A}">
  <cacheSource type="external" connectionId="1"/>
  <cacheFields count="5">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6342593" backgroundQuery="1" createdVersion="8" refreshedVersion="8" minRefreshableVersion="3" recordCount="0" supportSubquery="1" supportAdvancedDrill="1" xr:uid="{73701C9E-20F7-49AA-A446-2D010840C27C}">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8310187" backgroundQuery="1" createdVersion="8" refreshedVersion="8" minRefreshableVersion="3" recordCount="0" supportSubquery="1" supportAdvancedDrill="1" xr:uid="{92415BE5-3FEC-4B28-8344-7766094E621F}">
  <cacheSource type="external" connectionId="1"/>
  <cacheFields count="4">
    <cacheField name="[Table_1].[City].[City]" caption="City" numFmtId="0" hierarchy="16" level="1">
      <sharedItems count="3">
        <s v="Janesville"/>
        <s v="Laguna Hills"/>
        <s v="Walla Walla"/>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0740742" backgroundQuery="1" createdVersion="8" refreshedVersion="8" minRefreshableVersion="3" recordCount="0" supportSubquery="1" supportAdvancedDrill="1" xr:uid="{FB4642D6-B92E-400B-A017-2186B7CC55FB}">
  <cacheSource type="external" connectionId="1"/>
  <cacheFields count="4">
    <cacheField name="[Table_1].[City].[City]" caption="City" numFmtId="0" hierarchy="16" level="1">
      <sharedItems count="3">
        <s v="Janesville"/>
        <s v="Laguna Hills"/>
        <s v="Walla Walla"/>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2824074" backgroundQuery="1" createdVersion="8" refreshedVersion="8" minRefreshableVersion="3" recordCount="0" supportSubquery="1" supportAdvancedDrill="1" xr:uid="{4C4FA4F7-8C68-4050-BC35-01E737F72F9F}">
  <cacheSource type="external" connectionId="1"/>
  <cacheFields count="4">
    <cacheField name="[Table_1].[Product Name].[Product Name]" caption="Product Name" numFmtId="0" hierarchy="11" level="1">
      <sharedItems count="3">
        <s v="*Staples* Packaging Labels"/>
        <s v="Avery Reinforcements for Hole-Punch Pages"/>
        <s v="Letter Slit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5023145" backgroundQuery="1" createdVersion="8" refreshedVersion="8" minRefreshableVersion="3" recordCount="0" supportSubquery="1" supportAdvancedDrill="1" xr:uid="{BF622764-B714-420D-BDB4-FE7BAC4D467B}">
  <cacheSource type="external" connectionId="1"/>
  <cacheFields count="4">
    <cacheField name="[Table_1].[Product Name].[Product Name]" caption="Product Name" numFmtId="0" hierarchy="11" level="1">
      <sharedItems count="3">
        <s v="5165"/>
        <s v="Okidata Pacemark 4410N Wide Format Dot Matrix Printer"/>
        <s v="Polycom ViewStation™ ISDN Videoconferencing Unit"/>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7106485" backgroundQuery="1" createdVersion="8" refreshedVersion="8" minRefreshableVersion="3" recordCount="0" supportSubquery="1" supportAdvancedDrill="1" xr:uid="{7A3C73FB-CE88-4830-BD0C-BC2D9D679447}">
  <cacheSource type="external" connectionId="1"/>
  <cacheFields count="4">
    <cacheField name="[Table_1].[City].[City]" caption="City" numFmtId="0" hierarchy="16" level="1">
      <sharedItems count="3">
        <s v="Los Angeles"/>
        <s v="New York City"/>
        <s v="Washington"/>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9189817" backgroundQuery="1" createdVersion="8" refreshedVersion="8" minRefreshableVersion="3" recordCount="0" supportSubquery="1" supportAdvancedDrill="1" xr:uid="{93539609-FC7F-4D0D-AEB1-E05312B64A9C}">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1041665" backgroundQuery="1" createdVersion="8" refreshedVersion="8" minRefreshableVersion="3" recordCount="0" supportSubquery="1" supportAdvancedDrill="1" xr:uid="{A51B00C0-8C4F-49A8-9D95-44F54F6CE43E}">
  <cacheSource type="external" connectionId="1"/>
  <cacheFields count="4">
    <cacheField name="[Table_1].[City].[City]" caption="City" numFmtId="0" hierarchy="16" level="1">
      <sharedItems count="3">
        <s v="Los Angeles"/>
        <s v="New York City"/>
        <s v="Washington"/>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3124997" backgroundQuery="1" createdVersion="8" refreshedVersion="8" minRefreshableVersion="3" recordCount="0" supportSubquery="1" supportAdvancedDrill="1" xr:uid="{ED1035D6-2414-47B8-97A7-EDD299087649}">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467589" backgroundQuery="1" createdVersion="8" refreshedVersion="8" minRefreshableVersion="3" recordCount="0" supportSubquery="1" supportAdvancedDrill="1" xr:uid="{44FAA082-A0B3-4AE3-8E0E-311B32186386}">
  <cacheSource type="external" connectionId="1"/>
  <cacheFields count="6">
    <cacheField name="[Table_1].[State or Province].[State or Province]" caption="State or Province" numFmtId="0" hierarchy="15"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Sales]" caption="Sum of Sales" numFmtId="0" hierarchy="38" level="32767"/>
    <cacheField name="[Measures].[Sum of Cumulative cost]" caption="Sum of Cumulative cost" numFmtId="0" hierarchy="45" level="32767"/>
    <cacheField name="[Measures].[Sum of Shipping Cost]" caption="Sum of Shipping Cost" numFmtId="0" hierarchy="43"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fieldsUsage count="2">
        <fieldUsage x="-1"/>
        <fieldUsage x="0"/>
      </fieldsUsage>
    </cacheHierarchy>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814813" backgroundQuery="1" createdVersion="8" refreshedVersion="8" minRefreshableVersion="3" recordCount="0" supportSubquery="1" supportAdvancedDrill="1" xr:uid="{E897EDF8-9571-46EC-BA5A-BD7CC27F79D0}">
  <cacheSource type="external" connectionId="1"/>
  <cacheFields count="3">
    <cacheField name="[Measures].[Sum of Sales]" caption="Sum of Sales" numFmtId="0" hierarchy="38"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046297" backgroundQuery="1" createdVersion="8" refreshedVersion="8" minRefreshableVersion="3" recordCount="0" supportSubquery="1" supportAdvancedDrill="1" xr:uid="{41E6DC86-5B05-4862-A350-E46814FE96B6}">
  <cacheSource type="external" connectionId="1"/>
  <cacheFields count="4">
    <cacheField name="[Measures].[Sum of Sales]" caption="Sum of Sales" numFmtId="0" hierarchy="38" level="32767"/>
    <cacheField name="[Table_1].[Order Date (Month)].[Order Date (Month)]" caption="Order Date (Month)" numFmtId="0" hierarchy="30" level="1">
      <sharedItems count="6">
        <s v="Jan"/>
        <s v="Feb"/>
        <s v="Mar"/>
        <s v="Apr"/>
        <s v="May"/>
        <s v="Jun"/>
      </sharedItems>
    </cacheField>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1"/>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39352" backgroundQuery="1" createdVersion="8" refreshedVersion="8" minRefreshableVersion="3" recordCount="0" supportSubquery="1" supportAdvancedDrill="1" xr:uid="{120AD106-49BB-4013-A226-DAC1E99FDB72}">
  <cacheSource type="external" connectionId="1"/>
  <cacheFields count="6">
    <cacheField name="[Measures].[Sum of Sales]" caption="Sum of Sales" numFmtId="0" hierarchy="38" level="32767"/>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Quantity ordered new]" caption="Sum of Quantity ordered new" numFmtId="0" hierarchy="39" level="32767"/>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 name="Dummy1" numFmtId="0" hierarchy="54" level="32767">
      <extLst>
        <ext xmlns:x14="http://schemas.microsoft.com/office/spreadsheetml/2009/9/main" uri="{63CAB8AC-B538-458d-9737-405883B0398D}">
          <x14:cacheField ignore="1"/>
        </ext>
      </extLst>
    </cacheField>
  </cacheFields>
  <cacheHierarchies count="55">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3"/>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y uniqueName="Dummy1"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624998" backgroundQuery="1" createdVersion="8" refreshedVersion="8" minRefreshableVersion="3" recordCount="0" supportSubquery="1" supportAdvancedDrill="1" xr:uid="{262F750F-AAED-4B26-8F78-789B59509A5E}">
  <cacheSource type="external" connectionId="1"/>
  <cacheFields count="3">
    <cacheField name="[Table_1].[Order Date (Month)].[Order Date (Month)]" caption="Order Date (Month)" numFmtId="0" hierarchy="30" level="1">
      <sharedItems count="6">
        <s v="Jan"/>
        <s v="Feb"/>
        <s v="Mar"/>
        <s v="Apr"/>
        <s v="May"/>
        <s v="Jun"/>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856482" backgroundQuery="1" createdVersion="8" refreshedVersion="8" minRefreshableVersion="3" recordCount="0" supportSubquery="1" supportAdvancedDrill="1" xr:uid="{BF041D2A-B764-420F-A996-18885B5D1594}">
  <cacheSource type="external" connectionId="1"/>
  <cacheFields count="3">
    <cacheField name="[Table_1].[Region].[Region]" caption="Region" numFmtId="0" hierarchy="14" level="1">
      <sharedItems count="4">
        <s v="Central"/>
        <s v="East"/>
        <s v="South"/>
        <s v="West"/>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0"/>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08796" backgroundQuery="1" createdVersion="8" refreshedVersion="8" minRefreshableVersion="3" recordCount="0" supportSubquery="1" supportAdvancedDrill="1" xr:uid="{3BB6CB97-59F5-4435-A820-999465528375}">
  <cacheSource type="external" connectionId="1"/>
  <cacheFields count="7">
    <cacheField name="[Table_1].[Product Category].[Product Category]" caption="Product Category" numFmtId="0" hierarchy="8" level="1">
      <sharedItems count="3">
        <s v="Furniture"/>
        <s v="Office Supplies"/>
        <s v="Technology"/>
      </sharedItems>
    </cacheField>
    <cacheField name="[Measures].[Sum of Profit]" caption="Sum of Profit" numFmtId="0" hierarchy="40" level="32767"/>
    <cacheField name="[Measures].[Sum of Cumulative cost]" caption="Sum of Cumulative cost" numFmtId="0" hierarchy="45" level="32767"/>
    <cacheField name="[Measures].[Sum of Shipping Cost]" caption="Sum of Shipping Cost" numFmtId="0" hierarchy="43" level="32767"/>
    <cacheField name="[Table_1].[Region].[Region]" caption="Region" numFmtId="0" hierarchy="14" level="1">
      <sharedItems count="4">
        <s v="Central"/>
        <s v="East"/>
        <s v="South"/>
        <s v="West"/>
      </sharedItems>
    </cacheField>
    <cacheField name="[Measures].[Sum of Discount]" caption="Sum of Discount" numFmtId="0" hierarchy="42" level="32767"/>
    <cacheField name="[Measures].[Sum of Sales]" caption="Sum of Sales" numFmtId="0" hierarchy="38"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0"/>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4"/>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6"/>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oneField="1" hidden="1">
      <fieldsUsage count="1">
        <fieldUsage x="5"/>
      </fieldsUsage>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319444" backgroundQuery="1" createdVersion="8" refreshedVersion="8" minRefreshableVersion="3" recordCount="0" supportSubquery="1" supportAdvancedDrill="1" xr:uid="{E3D2111C-004B-4304-8042-C487CF3D251D}">
  <cacheSource type="external" connectionId="1"/>
  <cacheFields count="6">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Σ Discount]" caption="Σ Discount" numFmtId="0" hierarchy="32" level="32767"/>
    <cacheField name="[Measures].[Σ Profit]" caption="Σ Profit" numFmtId="0" hierarchy="33" level="32767"/>
    <cacheField name="[Measures].[Σ Shipping]" caption="Σ Shipping" numFmtId="0" hierarchy="34" level="32767"/>
    <cacheField name="[Measures].[Σ Costs]" caption="Σ Costs" numFmtId="0" hierarchy="35"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oneField="1">
      <fieldsUsage count="1">
        <fieldUsage x="1"/>
      </fieldsUsage>
    </cacheHierarchy>
    <cacheHierarchy uniqueName="[Measures].[Σ Profit]" caption="Σ Profit" measure="1" displayFolder="" measureGroup="Table_1" count="0" oneField="1">
      <fieldsUsage count="1">
        <fieldUsage x="2"/>
      </fieldsUsage>
    </cacheHierarchy>
    <cacheHierarchy uniqueName="[Measures].[Σ Shipping]" caption="Σ Shipping" measure="1" displayFolder="" measureGroup="Table_1" count="0" oneField="1">
      <fieldsUsage count="1">
        <fieldUsage x="3"/>
      </fieldsUsage>
    </cacheHierarchy>
    <cacheHierarchy uniqueName="[Measures].[Σ Costs]" caption="Σ Costs" measure="1" displayFolder="" measureGroup="Table_1" count="0" oneField="1">
      <fieldsUsage count="1">
        <fieldUsage x="4"/>
      </fieldsUsage>
    </cacheHierarchy>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5370373" backgroundQuery="1" createdVersion="3" refreshedVersion="8" minRefreshableVersion="3" recordCount="0" supportSubquery="1" supportAdvancedDrill="1" xr:uid="{7C2C1867-7F37-4504-A41F-F103AC968402}">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183887746"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9999999" backgroundQuery="1" createdVersion="3" refreshedVersion="8" minRefreshableVersion="3" recordCount="0" supportSubquery="1" supportAdvancedDrill="1" xr:uid="{D5B8597A-949A-4699-823C-DB3176E479F5}">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384521452"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01967592" backgroundQuery="1" createdVersion="3" refreshedVersion="8" minRefreshableVersion="3" recordCount="0" supportSubquery="1" supportAdvancedDrill="1" xr:uid="{F88EDA1F-EA74-4BB5-8B2F-C9BA9A3A70D3}">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56932175"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17592595" backgroundQuery="1" createdVersion="3" refreshedVersion="8" minRefreshableVersion="3" recordCount="0" supportSubquery="1" supportAdvancedDrill="1" xr:uid="{7B636FE8-7976-4778-B864-5FEE1F7E3F6D}">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280055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F80C96-2041-4332-9973-CCEA26EB3F76}" name="Distribution_LeastProfitCities" cacheId="5"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7:CL50" firstHeaderRow="0" firstDataRow="1" firstDataCol="1"/>
  <pivotFields count="4">
    <pivotField axis="axisRow" allDrilled="1" subtotalTop="0" showAll="0" measureFilter="1" sortType="descending" defaultSubtotal="0" defaultAttributeDrillState="1">
      <items count="3">
        <item x="2"/>
        <item x="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74">
      <pivotArea outline="0" collapsedLevelsAreSubtotals="1" fieldPosition="0">
        <references count="1">
          <reference field="4294967294" count="1" selected="0">
            <x v="0"/>
          </reference>
        </references>
      </pivotArea>
    </format>
    <format dxfId="73">
      <pivotArea dataOnly="0" labelOnly="1" outline="0" fieldPosition="0">
        <references count="1">
          <reference field="4294967294" count="1">
            <x v="0"/>
          </reference>
        </references>
      </pivotArea>
    </format>
    <format dxfId="72">
      <pivotArea type="all" dataOnly="0" outline="0" fieldPosition="0"/>
    </format>
    <format dxfId="71">
      <pivotArea outline="0" collapsedLevelsAreSubtotals="1" fieldPosition="0"/>
    </format>
    <format dxfId="70">
      <pivotArea field="0" type="button" dataOnly="0" labelOnly="1" outline="0" axis="axisRow" fieldPosition="0"/>
    </format>
    <format dxfId="69">
      <pivotArea dataOnly="0" labelOnly="1" fieldPosition="0">
        <references count="1">
          <reference field="0" count="0"/>
        </references>
      </pivotArea>
    </format>
    <format dxfId="68">
      <pivotArea dataOnly="0" labelOnly="1" outline="0" fieldPosition="0">
        <references count="1">
          <reference field="4294967294" count="2">
            <x v="0"/>
            <x v="1"/>
          </reference>
        </references>
      </pivotArea>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9972ED-67BF-4A81-BC99-F7CA01873D35}" name="Trends_LineChart+Matrix" cacheId="1" dataPosition="0" applyNumberFormats="0" applyBorderFormats="0" applyFontFormats="0" applyPatternFormats="0" applyAlignmentFormats="0" applyWidthHeightFormats="1" dataCaption="Values" tag="1395335c-2faa-47d5-aefa-2e3b6844d6d4" updatedVersion="8" minRefreshableVersion="3" subtotalHiddenItems="1" rowGrandTotals="0" itemPrintTitles="1" createdVersion="8" indent="0" compact="0" compactData="0" gridDropZones="1" multipleFieldFilters="0" chartFormat="12" rowHeaderCaption="Month/Date">
  <location ref="AL5:AP185" firstHeaderRow="1" firstDataRow="2" firstDataCol="2"/>
  <pivotFields count="6">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2">
    <field x="0"/>
    <field x="1"/>
  </rowFields>
  <rowItems count="179">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x v="2"/>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x v="3"/>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x v="4"/>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x v="5"/>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rowItems>
  <colFields count="1">
    <field x="-2"/>
  </colFields>
  <colItems count="3">
    <i>
      <x/>
    </i>
    <i i="1">
      <x v="1"/>
    </i>
    <i i="2">
      <x v="2"/>
    </i>
  </colItems>
  <dataFields count="3">
    <dataField name="Sales" fld="2" baseField="0" baseItem="0"/>
    <dataField name="Profit" fld="3" baseField="0" baseItem="0"/>
    <dataField name="Sold Quantity" fld="4" baseField="0" baseItem="0"/>
  </dataFields>
  <formats count="156">
    <format dxfId="230">
      <pivotArea type="all" dataOnly="0" outline="0" fieldPosition="0"/>
    </format>
    <format dxfId="229">
      <pivotArea outline="0" collapsedLevelsAreSubtotals="1" fieldPosition="0"/>
    </format>
    <format dxfId="228">
      <pivotArea type="origin" dataOnly="0" labelOnly="1" outline="0" fieldPosition="0"/>
    </format>
    <format dxfId="227">
      <pivotArea field="-2" type="button" dataOnly="0" labelOnly="1" outline="0" axis="axisCol" fieldPosition="0"/>
    </format>
    <format dxfId="226">
      <pivotArea type="topRight" dataOnly="0" labelOnly="1" outline="0" fieldPosition="0"/>
    </format>
    <format dxfId="225">
      <pivotArea field="0" type="button" dataOnly="0" labelOnly="1" outline="0" axis="axisRow" fieldPosition="0"/>
    </format>
    <format dxfId="224">
      <pivotArea field="1" type="button" dataOnly="0" labelOnly="1" outline="0" axis="axisRow" fieldPosition="1"/>
    </format>
    <format dxfId="223">
      <pivotArea dataOnly="0" labelOnly="1" outline="0" fieldPosition="0">
        <references count="1">
          <reference field="0" count="0"/>
        </references>
      </pivotArea>
    </format>
    <format dxfId="222">
      <pivotArea dataOnly="0" labelOnly="1" grandRow="1" outline="0" fieldPosition="0"/>
    </format>
    <format dxfId="22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220">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219">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218">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217">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216">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215">
      <pivotArea dataOnly="0" labelOnly="1" outline="0" fieldPosition="0">
        <references count="1">
          <reference field="4294967294" count="3">
            <x v="0"/>
            <x v="1"/>
            <x v="2"/>
          </reference>
        </references>
      </pivotArea>
    </format>
    <format dxfId="214">
      <pivotArea type="all" dataOnly="0" outline="0" fieldPosition="0"/>
    </format>
    <format dxfId="213">
      <pivotArea outline="0" collapsedLevelsAreSubtotals="1" fieldPosition="0"/>
    </format>
    <format dxfId="212">
      <pivotArea type="origin" dataOnly="0" labelOnly="1" outline="0" fieldPosition="0"/>
    </format>
    <format dxfId="211">
      <pivotArea field="-2" type="button" dataOnly="0" labelOnly="1" outline="0" axis="axisCol" fieldPosition="0"/>
    </format>
    <format dxfId="210">
      <pivotArea type="topRight" dataOnly="0" labelOnly="1" outline="0" fieldPosition="0"/>
    </format>
    <format dxfId="209">
      <pivotArea field="0" type="button" dataOnly="0" labelOnly="1" outline="0" axis="axisRow" fieldPosition="0"/>
    </format>
    <format dxfId="208">
      <pivotArea field="1" type="button" dataOnly="0" labelOnly="1" outline="0" axis="axisRow" fieldPosition="1"/>
    </format>
    <format dxfId="207">
      <pivotArea dataOnly="0" labelOnly="1" outline="0" fieldPosition="0">
        <references count="1">
          <reference field="0" count="0"/>
        </references>
      </pivotArea>
    </format>
    <format dxfId="206">
      <pivotArea dataOnly="0" labelOnly="1" grandRow="1" outline="0" fieldPosition="0"/>
    </format>
    <format dxfId="205">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204">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203">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202">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201">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200">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199">
      <pivotArea dataOnly="0" labelOnly="1" outline="0" fieldPosition="0">
        <references count="1">
          <reference field="4294967294" count="3">
            <x v="0"/>
            <x v="1"/>
            <x v="2"/>
          </reference>
        </references>
      </pivotArea>
    </format>
    <format dxfId="198">
      <pivotArea type="all" dataOnly="0" outline="0" fieldPosition="0"/>
    </format>
    <format dxfId="197">
      <pivotArea outline="0" collapsedLevelsAreSubtotals="1" fieldPosition="0"/>
    </format>
    <format dxfId="196">
      <pivotArea field="-2" type="button" dataOnly="0" labelOnly="1" outline="0" axis="axisCol" fieldPosition="0"/>
    </format>
    <format dxfId="195">
      <pivotArea type="topRight" dataOnly="0" labelOnly="1" outline="0" fieldPosition="0"/>
    </format>
    <format dxfId="194">
      <pivotArea dataOnly="0" labelOnly="1" outline="0" fieldPosition="0">
        <references count="1">
          <reference field="0" count="0"/>
        </references>
      </pivotArea>
    </format>
    <format dxfId="193">
      <pivotArea dataOnly="0" labelOnly="1" grandRow="1" outline="0" fieldPosition="0"/>
    </format>
    <format dxfId="192">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191">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190">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189">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188">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187">
      <pivotArea dataOnly="0" labelOnly="1" outline="0" fieldPosition="0">
        <references count="1">
          <reference field="4294967294" count="3">
            <x v="0"/>
            <x v="1"/>
            <x v="2"/>
          </reference>
        </references>
      </pivotArea>
    </format>
    <format dxfId="186">
      <pivotArea outline="0" collapsedLevelsAreSubtotals="1" fieldPosition="0"/>
    </format>
    <format dxfId="185">
      <pivotArea field="-2" type="button" dataOnly="0" labelOnly="1" outline="0" axis="axisCol" fieldPosition="0"/>
    </format>
    <format dxfId="184">
      <pivotArea type="topRight" dataOnly="0" labelOnly="1" outline="0" fieldPosition="0"/>
    </format>
    <format dxfId="183">
      <pivotArea dataOnly="0" labelOnly="1" outline="0" fieldPosition="0">
        <references count="1">
          <reference field="4294967294" count="3">
            <x v="0"/>
            <x v="1"/>
            <x v="2"/>
          </reference>
        </references>
      </pivotArea>
    </format>
    <format dxfId="182">
      <pivotArea type="all" dataOnly="0" outline="0" fieldPosition="0"/>
    </format>
    <format dxfId="181">
      <pivotArea outline="0" collapsedLevelsAreSubtotals="1" fieldPosition="0"/>
    </format>
    <format dxfId="180">
      <pivotArea type="origin" dataOnly="0" labelOnly="1" outline="0" fieldPosition="0"/>
    </format>
    <format dxfId="179">
      <pivotArea field="-2" type="button" dataOnly="0" labelOnly="1" outline="0" axis="axisCol" fieldPosition="0"/>
    </format>
    <format dxfId="178">
      <pivotArea type="topRight" dataOnly="0" labelOnly="1" outline="0" fieldPosition="0"/>
    </format>
    <format dxfId="177">
      <pivotArea field="0" type="button" dataOnly="0" labelOnly="1" outline="0" axis="axisRow" fieldPosition="0"/>
    </format>
    <format dxfId="176">
      <pivotArea field="1" type="button" dataOnly="0" labelOnly="1" outline="0" axis="axisRow" fieldPosition="1"/>
    </format>
    <format dxfId="175">
      <pivotArea dataOnly="0" labelOnly="1" outline="0" fieldPosition="0">
        <references count="1">
          <reference field="0" count="1">
            <x v="0"/>
          </reference>
        </references>
      </pivotArea>
    </format>
    <format dxfId="17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73">
      <pivotArea dataOnly="0" labelOnly="1" outline="0" fieldPosition="0">
        <references count="1">
          <reference field="4294967294" count="3">
            <x v="0"/>
            <x v="1"/>
            <x v="2"/>
          </reference>
        </references>
      </pivotArea>
    </format>
    <format dxfId="172">
      <pivotArea type="all" dataOnly="0" outline="0" fieldPosition="0"/>
    </format>
    <format dxfId="171">
      <pivotArea outline="0" collapsedLevelsAreSubtotals="1" fieldPosition="0"/>
    </format>
    <format dxfId="170">
      <pivotArea type="origin" dataOnly="0" labelOnly="1" outline="0" fieldPosition="0"/>
    </format>
    <format dxfId="169">
      <pivotArea field="-2" type="button" dataOnly="0" labelOnly="1" outline="0" axis="axisCol" fieldPosition="0"/>
    </format>
    <format dxfId="168">
      <pivotArea type="topRight" dataOnly="0" labelOnly="1" outline="0" fieldPosition="0"/>
    </format>
    <format dxfId="167">
      <pivotArea field="0" type="button" dataOnly="0" labelOnly="1" outline="0" axis="axisRow" fieldPosition="0"/>
    </format>
    <format dxfId="166">
      <pivotArea field="1" type="button" dataOnly="0" labelOnly="1" outline="0" axis="axisRow" fieldPosition="1"/>
    </format>
    <format dxfId="165">
      <pivotArea dataOnly="0" labelOnly="1" outline="0" fieldPosition="0">
        <references count="1">
          <reference field="0" count="1">
            <x v="0"/>
          </reference>
        </references>
      </pivotArea>
    </format>
    <format dxfId="16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63">
      <pivotArea dataOnly="0" labelOnly="1" outline="0" fieldPosition="0">
        <references count="1">
          <reference field="4294967294" count="3">
            <x v="0"/>
            <x v="1"/>
            <x v="2"/>
          </reference>
        </references>
      </pivotArea>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field="-2" type="button" dataOnly="0" labelOnly="1" outline="0" axis="axisCol" fieldPosition="0"/>
    </format>
    <format dxfId="158">
      <pivotArea type="topRight" dataOnly="0" labelOnly="1" outline="0" fieldPosition="0"/>
    </format>
    <format dxfId="157">
      <pivotArea field="0" type="button" dataOnly="0" labelOnly="1" outline="0" axis="axisRow" fieldPosition="0"/>
    </format>
    <format dxfId="156">
      <pivotArea field="1" type="button" dataOnly="0" labelOnly="1" outline="0" axis="axisRow" fieldPosition="1"/>
    </format>
    <format dxfId="155">
      <pivotArea dataOnly="0" labelOnly="1" outline="0" fieldPosition="0">
        <references count="1">
          <reference field="0" count="1">
            <x v="0"/>
          </reference>
        </references>
      </pivotArea>
    </format>
    <format dxfId="15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53">
      <pivotArea dataOnly="0" labelOnly="1" outline="0" fieldPosition="0">
        <references count="1">
          <reference field="4294967294" count="3">
            <x v="0"/>
            <x v="1"/>
            <x v="2"/>
          </reference>
        </references>
      </pivotArea>
    </format>
    <format dxfId="152">
      <pivotArea type="all" dataOnly="0" outline="0" fieldPosition="0"/>
    </format>
    <format dxfId="151">
      <pivotArea outline="0" collapsedLevelsAreSubtotals="1" fieldPosition="0"/>
    </format>
    <format dxfId="150">
      <pivotArea type="origin" dataOnly="0" labelOnly="1" outline="0" fieldPosition="0"/>
    </format>
    <format dxfId="149">
      <pivotArea field="-2" type="button" dataOnly="0" labelOnly="1" outline="0" axis="axisCol" fieldPosition="0"/>
    </format>
    <format dxfId="148">
      <pivotArea type="topRight" dataOnly="0" labelOnly="1" outline="0" fieldPosition="0"/>
    </format>
    <format dxfId="147">
      <pivotArea field="0" type="button" dataOnly="0" labelOnly="1" outline="0" axis="axisRow" fieldPosition="0"/>
    </format>
    <format dxfId="146">
      <pivotArea field="1" type="button" dataOnly="0" labelOnly="1" outline="0" axis="axisRow" fieldPosition="1"/>
    </format>
    <format dxfId="145">
      <pivotArea dataOnly="0" labelOnly="1" outline="0" fieldPosition="0">
        <references count="1">
          <reference field="0" count="0"/>
        </references>
      </pivotArea>
    </format>
    <format dxfId="14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43">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142">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141">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140">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139">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138">
      <pivotArea dataOnly="0" labelOnly="1" outline="0" fieldPosition="0">
        <references count="1">
          <reference field="4294967294" count="3">
            <x v="0"/>
            <x v="1"/>
            <x v="2"/>
          </reference>
        </references>
      </pivotArea>
    </format>
    <format dxfId="137">
      <pivotArea type="all" dataOnly="0" outline="0" fieldPosition="0"/>
    </format>
    <format dxfId="136">
      <pivotArea outline="0" collapsedLevelsAreSubtotals="1" fieldPosition="0"/>
    </format>
    <format dxfId="135">
      <pivotArea type="origin" dataOnly="0" labelOnly="1" outline="0" fieldPosition="0"/>
    </format>
    <format dxfId="134">
      <pivotArea field="-2" type="button" dataOnly="0" labelOnly="1" outline="0" axis="axisCol" fieldPosition="0"/>
    </format>
    <format dxfId="133">
      <pivotArea type="topRight" dataOnly="0" labelOnly="1" outline="0" fieldPosition="0"/>
    </format>
    <format dxfId="132">
      <pivotArea field="0" type="button" dataOnly="0" labelOnly="1" outline="0" axis="axisRow" fieldPosition="0"/>
    </format>
    <format dxfId="131">
      <pivotArea field="1" type="button" dataOnly="0" labelOnly="1" outline="0" axis="axisRow" fieldPosition="1"/>
    </format>
    <format dxfId="130">
      <pivotArea dataOnly="0" labelOnly="1" outline="0" fieldPosition="0">
        <references count="1">
          <reference field="0" count="0"/>
        </references>
      </pivotArea>
    </format>
    <format dxfId="12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28">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127">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126">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125">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124">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123">
      <pivotArea dataOnly="0" labelOnly="1" outline="0" fieldPosition="0">
        <references count="1">
          <reference field="4294967294" count="3">
            <x v="0"/>
            <x v="1"/>
            <x v="2"/>
          </reference>
        </references>
      </pivotArea>
    </format>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2" type="button" dataOnly="0" labelOnly="1" outline="0" axis="axisCol" fieldPosition="0"/>
    </format>
    <format dxfId="118">
      <pivotArea type="topRight" dataOnly="0" labelOnly="1" outline="0" fieldPosition="0"/>
    </format>
    <format dxfId="117">
      <pivotArea field="0" type="button" dataOnly="0" labelOnly="1" outline="0" axis="axisRow" fieldPosition="0"/>
    </format>
    <format dxfId="116">
      <pivotArea field="1" type="button" dataOnly="0" labelOnly="1" outline="0" axis="axisRow" fieldPosition="1"/>
    </format>
    <format dxfId="115">
      <pivotArea dataOnly="0" labelOnly="1" outline="0" fieldPosition="0">
        <references count="1">
          <reference field="0" count="0"/>
        </references>
      </pivotArea>
    </format>
    <format dxfId="11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113">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112">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111">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110">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109">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108">
      <pivotArea dataOnly="0" labelOnly="1" outline="0" fieldPosition="0">
        <references count="1">
          <reference field="4294967294" count="3">
            <x v="0"/>
            <x v="1"/>
            <x v="2"/>
          </reference>
        </references>
      </pivotArea>
    </format>
    <format dxfId="107">
      <pivotArea outline="0" fieldPosition="0">
        <references count="2">
          <reference field="0" count="1" selected="0">
            <x v="1"/>
          </reference>
          <reference field="1" count="1" selected="0">
            <x v="40"/>
          </reference>
        </references>
      </pivotArea>
    </format>
    <format dxfId="106">
      <pivotArea outline="0" fieldPosition="0">
        <references count="2">
          <reference field="0" count="1" selected="0">
            <x v="1"/>
          </reference>
          <reference field="1" count="1" selected="0">
            <x v="40"/>
          </reference>
        </references>
      </pivotArea>
    </format>
    <format dxfId="105">
      <pivotArea outline="0" fieldPosition="0">
        <references count="2">
          <reference field="0" count="1" selected="0">
            <x v="1"/>
          </reference>
          <reference field="1" count="1" selected="0">
            <x v="40"/>
          </reference>
        </references>
      </pivotArea>
    </format>
    <format dxfId="104">
      <pivotArea type="all" dataOnly="0" outline="0" fieldPosition="0"/>
    </format>
    <format dxfId="103">
      <pivotArea outline="0" collapsedLevelsAreSubtotals="1" fieldPosition="0"/>
    </format>
    <format dxfId="102">
      <pivotArea type="origin" dataOnly="0" labelOnly="1" outline="0" fieldPosition="0"/>
    </format>
    <format dxfId="101">
      <pivotArea field="-2" type="button" dataOnly="0" labelOnly="1" outline="0" axis="axisCol" fieldPosition="0"/>
    </format>
    <format dxfId="100">
      <pivotArea type="topRight" dataOnly="0" labelOnly="1" outline="0" fieldPosition="0"/>
    </format>
    <format dxfId="99">
      <pivotArea field="0" type="button" dataOnly="0" labelOnly="1" outline="0" axis="axisRow" fieldPosition="0"/>
    </format>
    <format dxfId="98">
      <pivotArea field="1" type="button" dataOnly="0" labelOnly="1" outline="0" axis="axisRow" fieldPosition="1"/>
    </format>
    <format dxfId="97">
      <pivotArea dataOnly="0" labelOnly="1" outline="0" fieldPosition="0">
        <references count="1">
          <reference field="0" count="0"/>
        </references>
      </pivotArea>
    </format>
    <format dxfId="96">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95">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94">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93">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92">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91">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90">
      <pivotArea dataOnly="0" labelOnly="1" outline="0" fieldPosition="0">
        <references count="1">
          <reference field="4294967294" count="3">
            <x v="0"/>
            <x v="1"/>
            <x v="2"/>
          </reference>
        </references>
      </pivotArea>
    </format>
    <format dxfId="89">
      <pivotArea type="all" dataOnly="0" outline="0" fieldPosition="0"/>
    </format>
    <format dxfId="88">
      <pivotArea outline="0" collapsedLevelsAreSubtotals="1" fieldPosition="0"/>
    </format>
    <format dxfId="87">
      <pivotArea type="origin" dataOnly="0" labelOnly="1" outline="0" fieldPosition="0"/>
    </format>
    <format dxfId="86">
      <pivotArea field="-2" type="button" dataOnly="0" labelOnly="1" outline="0" axis="axisCol" fieldPosition="0"/>
    </format>
    <format dxfId="85">
      <pivotArea type="topRight" dataOnly="0" labelOnly="1" outline="0" fieldPosition="0"/>
    </format>
    <format dxfId="84">
      <pivotArea field="0" type="button" dataOnly="0" labelOnly="1" outline="0" axis="axisRow" fieldPosition="0"/>
    </format>
    <format dxfId="83">
      <pivotArea field="1" type="button" dataOnly="0" labelOnly="1" outline="0" axis="axisRow" fieldPosition="1"/>
    </format>
    <format dxfId="82">
      <pivotArea dataOnly="0" labelOnly="1" outline="0" fieldPosition="0">
        <references count="1">
          <reference field="0" count="0"/>
        </references>
      </pivotArea>
    </format>
    <format dxfId="8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80">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79">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78">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77">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76">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75">
      <pivotArea dataOnly="0" labelOnly="1" outline="0" fieldPosition="0">
        <references count="1">
          <reference field="4294967294" count="3">
            <x v="0"/>
            <x v="1"/>
            <x v="2"/>
          </reference>
        </references>
      </pivotArea>
    </format>
  </formats>
  <chartFormats count="17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3">
          <reference field="4294967294" count="1" selected="0">
            <x v="0"/>
          </reference>
          <reference field="0" count="1" selected="0">
            <x v="0"/>
          </reference>
          <reference field="1" count="1" selected="0">
            <x v="2"/>
          </reference>
        </references>
      </pivotArea>
    </chartFormat>
    <chartFormat chart="0" format="3" series="1">
      <pivotArea type="data" outline="0" fieldPosition="0">
        <references count="3">
          <reference field="4294967294" count="1" selected="0">
            <x v="0"/>
          </reference>
          <reference field="0" count="1" selected="0">
            <x v="0"/>
          </reference>
          <reference field="1" count="1" selected="0">
            <x v="3"/>
          </reference>
        </references>
      </pivotArea>
    </chartFormat>
    <chartFormat chart="0" format="4" series="1">
      <pivotArea type="data" outline="0" fieldPosition="0">
        <references count="3">
          <reference field="4294967294" count="1" selected="0">
            <x v="0"/>
          </reference>
          <reference field="0" count="1" selected="0">
            <x v="0"/>
          </reference>
          <reference field="1" count="1" selected="0">
            <x v="4"/>
          </reference>
        </references>
      </pivotArea>
    </chartFormat>
    <chartFormat chart="0" format="5" series="1">
      <pivotArea type="data" outline="0" fieldPosition="0">
        <references count="3">
          <reference field="4294967294" count="1" selected="0">
            <x v="0"/>
          </reference>
          <reference field="0" count="1" selected="0">
            <x v="0"/>
          </reference>
          <reference field="1" count="1" selected="0">
            <x v="5"/>
          </reference>
        </references>
      </pivotArea>
    </chartFormat>
    <chartFormat chart="0" format="6" series="1">
      <pivotArea type="data" outline="0" fieldPosition="0">
        <references count="3">
          <reference field="4294967294" count="1" selected="0">
            <x v="0"/>
          </reference>
          <reference field="0" count="1" selected="0">
            <x v="0"/>
          </reference>
          <reference field="1" count="1" selected="0">
            <x v="6"/>
          </reference>
        </references>
      </pivotArea>
    </chartFormat>
    <chartFormat chart="0" format="7" series="1">
      <pivotArea type="data" outline="0" fieldPosition="0">
        <references count="3">
          <reference field="4294967294" count="1" selected="0">
            <x v="0"/>
          </reference>
          <reference field="0" count="1" selected="0">
            <x v="0"/>
          </reference>
          <reference field="1" count="1" selected="0">
            <x v="7"/>
          </reference>
        </references>
      </pivotArea>
    </chartFormat>
    <chartFormat chart="0" format="8" series="1">
      <pivotArea type="data" outline="0" fieldPosition="0">
        <references count="3">
          <reference field="4294967294" count="1" selected="0">
            <x v="0"/>
          </reference>
          <reference field="0" count="1" selected="0">
            <x v="0"/>
          </reference>
          <reference field="1" count="1" selected="0">
            <x v="8"/>
          </reference>
        </references>
      </pivotArea>
    </chartFormat>
    <chartFormat chart="0" format="9" series="1">
      <pivotArea type="data" outline="0" fieldPosition="0">
        <references count="3">
          <reference field="4294967294" count="1" selected="0">
            <x v="0"/>
          </reference>
          <reference field="0" count="1" selected="0">
            <x v="0"/>
          </reference>
          <reference field="1" count="1" selected="0">
            <x v="9"/>
          </reference>
        </references>
      </pivotArea>
    </chartFormat>
    <chartFormat chart="0" format="10" series="1">
      <pivotArea type="data" outline="0" fieldPosition="0">
        <references count="3">
          <reference field="4294967294" count="1" selected="0">
            <x v="0"/>
          </reference>
          <reference field="0" count="1" selected="0">
            <x v="0"/>
          </reference>
          <reference field="1" count="1" selected="0">
            <x v="10"/>
          </reference>
        </references>
      </pivotArea>
    </chartFormat>
    <chartFormat chart="0" format="11" series="1">
      <pivotArea type="data" outline="0" fieldPosition="0">
        <references count="3">
          <reference field="4294967294" count="1" selected="0">
            <x v="0"/>
          </reference>
          <reference field="0" count="1" selected="0">
            <x v="0"/>
          </reference>
          <reference field="1" count="1" selected="0">
            <x v="11"/>
          </reference>
        </references>
      </pivotArea>
    </chartFormat>
    <chartFormat chart="0" format="12" series="1">
      <pivotArea type="data" outline="0" fieldPosition="0">
        <references count="3">
          <reference field="4294967294" count="1" selected="0">
            <x v="0"/>
          </reference>
          <reference field="0" count="1" selected="0">
            <x v="0"/>
          </reference>
          <reference field="1" count="1" selected="0">
            <x v="12"/>
          </reference>
        </references>
      </pivotArea>
    </chartFormat>
    <chartFormat chart="0" format="13" series="1">
      <pivotArea type="data" outline="0" fieldPosition="0">
        <references count="3">
          <reference field="4294967294" count="1" selected="0">
            <x v="0"/>
          </reference>
          <reference field="0" count="1" selected="0">
            <x v="0"/>
          </reference>
          <reference field="1" count="1" selected="0">
            <x v="13"/>
          </reference>
        </references>
      </pivotArea>
    </chartFormat>
    <chartFormat chart="0" format="14" series="1">
      <pivotArea type="data" outline="0" fieldPosition="0">
        <references count="3">
          <reference field="4294967294" count="1" selected="0">
            <x v="0"/>
          </reference>
          <reference field="0" count="1" selected="0">
            <x v="0"/>
          </reference>
          <reference field="1" count="1" selected="0">
            <x v="14"/>
          </reference>
        </references>
      </pivotArea>
    </chartFormat>
    <chartFormat chart="0" format="15" series="1">
      <pivotArea type="data" outline="0" fieldPosition="0">
        <references count="3">
          <reference field="4294967294" count="1" selected="0">
            <x v="0"/>
          </reference>
          <reference field="0" count="1" selected="0">
            <x v="0"/>
          </reference>
          <reference field="1" count="1" selected="0">
            <x v="15"/>
          </reference>
        </references>
      </pivotArea>
    </chartFormat>
    <chartFormat chart="0" format="16" series="1">
      <pivotArea type="data" outline="0" fieldPosition="0">
        <references count="3">
          <reference field="4294967294" count="1" selected="0">
            <x v="0"/>
          </reference>
          <reference field="0"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0" count="1" selected="0">
            <x v="0"/>
          </reference>
          <reference field="1" count="1" selected="0">
            <x v="17"/>
          </reference>
        </references>
      </pivotArea>
    </chartFormat>
    <chartFormat chart="0" format="18" series="1">
      <pivotArea type="data" outline="0" fieldPosition="0">
        <references count="3">
          <reference field="4294967294" count="1" selected="0">
            <x v="0"/>
          </reference>
          <reference field="0" count="1" selected="0">
            <x v="0"/>
          </reference>
          <reference field="1" count="1" selected="0">
            <x v="18"/>
          </reference>
        </references>
      </pivotArea>
    </chartFormat>
    <chartFormat chart="0" format="19" series="1">
      <pivotArea type="data" outline="0" fieldPosition="0">
        <references count="3">
          <reference field="4294967294" count="1" selected="0">
            <x v="0"/>
          </reference>
          <reference field="0" count="1" selected="0">
            <x v="0"/>
          </reference>
          <reference field="1" count="1" selected="0">
            <x v="19"/>
          </reference>
        </references>
      </pivotArea>
    </chartFormat>
    <chartFormat chart="0" format="20" series="1">
      <pivotArea type="data" outline="0" fieldPosition="0">
        <references count="3">
          <reference field="4294967294" count="1" selected="0">
            <x v="0"/>
          </reference>
          <reference field="0" count="1" selected="0">
            <x v="0"/>
          </reference>
          <reference field="1" count="1" selected="0">
            <x v="20"/>
          </reference>
        </references>
      </pivotArea>
    </chartFormat>
    <chartFormat chart="0" format="21" series="1">
      <pivotArea type="data" outline="0" fieldPosition="0">
        <references count="3">
          <reference field="4294967294" count="1" selected="0">
            <x v="0"/>
          </reference>
          <reference field="0" count="1" selected="0">
            <x v="0"/>
          </reference>
          <reference field="1" count="1" selected="0">
            <x v="21"/>
          </reference>
        </references>
      </pivotArea>
    </chartFormat>
    <chartFormat chart="0" format="22" series="1">
      <pivotArea type="data" outline="0" fieldPosition="0">
        <references count="3">
          <reference field="4294967294" count="1" selected="0">
            <x v="0"/>
          </reference>
          <reference field="0" count="1" selected="0">
            <x v="0"/>
          </reference>
          <reference field="1" count="1" selected="0">
            <x v="22"/>
          </reference>
        </references>
      </pivotArea>
    </chartFormat>
    <chartFormat chart="0" format="23" series="1">
      <pivotArea type="data" outline="0" fieldPosition="0">
        <references count="3">
          <reference field="4294967294" count="1" selected="0">
            <x v="0"/>
          </reference>
          <reference field="0" count="1" selected="0">
            <x v="0"/>
          </reference>
          <reference field="1" count="1" selected="0">
            <x v="23"/>
          </reference>
        </references>
      </pivotArea>
    </chartFormat>
    <chartFormat chart="0" format="24" series="1">
      <pivotArea type="data" outline="0" fieldPosition="0">
        <references count="3">
          <reference field="4294967294" count="1" selected="0">
            <x v="0"/>
          </reference>
          <reference field="0" count="1" selected="0">
            <x v="0"/>
          </reference>
          <reference field="1" count="1" selected="0">
            <x v="24"/>
          </reference>
        </references>
      </pivotArea>
    </chartFormat>
    <chartFormat chart="0" format="25" series="1">
      <pivotArea type="data" outline="0" fieldPosition="0">
        <references count="3">
          <reference field="4294967294" count="1" selected="0">
            <x v="0"/>
          </reference>
          <reference field="0" count="1" selected="0">
            <x v="0"/>
          </reference>
          <reference field="1" count="1" selected="0">
            <x v="25"/>
          </reference>
        </references>
      </pivotArea>
    </chartFormat>
    <chartFormat chart="0" format="26" series="1">
      <pivotArea type="data" outline="0" fieldPosition="0">
        <references count="3">
          <reference field="4294967294" count="1" selected="0">
            <x v="0"/>
          </reference>
          <reference field="0" count="1" selected="0">
            <x v="0"/>
          </reference>
          <reference field="1" count="1" selected="0">
            <x v="26"/>
          </reference>
        </references>
      </pivotArea>
    </chartFormat>
    <chartFormat chart="0" format="27" series="1">
      <pivotArea type="data" outline="0" fieldPosition="0">
        <references count="3">
          <reference field="4294967294" count="1" selected="0">
            <x v="0"/>
          </reference>
          <reference field="0" count="1" selected="0">
            <x v="0"/>
          </reference>
          <reference field="1" count="1" selected="0">
            <x v="27"/>
          </reference>
        </references>
      </pivotArea>
    </chartFormat>
    <chartFormat chart="0" format="28" series="1">
      <pivotArea type="data" outline="0" fieldPosition="0">
        <references count="3">
          <reference field="4294967294" count="1" selected="0">
            <x v="0"/>
          </reference>
          <reference field="0" count="1" selected="0">
            <x v="0"/>
          </reference>
          <reference field="1" count="1" selected="0">
            <x v="28"/>
          </reference>
        </references>
      </pivotArea>
    </chartFormat>
    <chartFormat chart="0" format="29" series="1">
      <pivotArea type="data" outline="0" fieldPosition="0">
        <references count="3">
          <reference field="4294967294" count="1" selected="0">
            <x v="0"/>
          </reference>
          <reference field="0" count="1" selected="0">
            <x v="0"/>
          </reference>
          <reference field="1" count="1" selected="0">
            <x v="29"/>
          </reference>
        </references>
      </pivotArea>
    </chartFormat>
    <chartFormat chart="0" format="30" series="1">
      <pivotArea type="data" outline="0" fieldPosition="0">
        <references count="3">
          <reference field="4294967294" count="1" selected="0">
            <x v="0"/>
          </reference>
          <reference field="0" count="1" selected="0">
            <x v="0"/>
          </reference>
          <reference field="1" count="1" selected="0">
            <x v="30"/>
          </reference>
        </references>
      </pivotArea>
    </chartFormat>
    <chartFormat chart="0" format="31" series="1">
      <pivotArea type="data" outline="0" fieldPosition="0">
        <references count="3">
          <reference field="4294967294" count="1" selected="0">
            <x v="0"/>
          </reference>
          <reference field="0" count="1" selected="0">
            <x v="1"/>
          </reference>
          <reference field="1" count="1" selected="0">
            <x v="31"/>
          </reference>
        </references>
      </pivotArea>
    </chartFormat>
    <chartFormat chart="0" format="32" series="1">
      <pivotArea type="data" outline="0" fieldPosition="0">
        <references count="3">
          <reference field="4294967294" count="1" selected="0">
            <x v="0"/>
          </reference>
          <reference field="0" count="1" selected="0">
            <x v="1"/>
          </reference>
          <reference field="1" count="1" selected="0">
            <x v="32"/>
          </reference>
        </references>
      </pivotArea>
    </chartFormat>
    <chartFormat chart="0" format="33" series="1">
      <pivotArea type="data" outline="0" fieldPosition="0">
        <references count="3">
          <reference field="4294967294" count="1" selected="0">
            <x v="0"/>
          </reference>
          <reference field="0" count="1" selected="0">
            <x v="1"/>
          </reference>
          <reference field="1" count="1" selected="0">
            <x v="33"/>
          </reference>
        </references>
      </pivotArea>
    </chartFormat>
    <chartFormat chart="0" format="34" series="1">
      <pivotArea type="data" outline="0" fieldPosition="0">
        <references count="3">
          <reference field="4294967294" count="1" selected="0">
            <x v="0"/>
          </reference>
          <reference field="0" count="1" selected="0">
            <x v="1"/>
          </reference>
          <reference field="1" count="1" selected="0">
            <x v="34"/>
          </reference>
        </references>
      </pivotArea>
    </chartFormat>
    <chartFormat chart="0" format="35" series="1">
      <pivotArea type="data" outline="0" fieldPosition="0">
        <references count="3">
          <reference field="4294967294" count="1" selected="0">
            <x v="0"/>
          </reference>
          <reference field="0" count="1" selected="0">
            <x v="1"/>
          </reference>
          <reference field="1" count="1" selected="0">
            <x v="35"/>
          </reference>
        </references>
      </pivotArea>
    </chartFormat>
    <chartFormat chart="0" format="36" series="1">
      <pivotArea type="data" outline="0" fieldPosition="0">
        <references count="3">
          <reference field="4294967294" count="1" selected="0">
            <x v="0"/>
          </reference>
          <reference field="0" count="1" selected="0">
            <x v="1"/>
          </reference>
          <reference field="1" count="1" selected="0">
            <x v="36"/>
          </reference>
        </references>
      </pivotArea>
    </chartFormat>
    <chartFormat chart="0" format="37" series="1">
      <pivotArea type="data" outline="0" fieldPosition="0">
        <references count="3">
          <reference field="4294967294" count="1" selected="0">
            <x v="0"/>
          </reference>
          <reference field="0" count="1" selected="0">
            <x v="1"/>
          </reference>
          <reference field="1" count="1" selected="0">
            <x v="37"/>
          </reference>
        </references>
      </pivotArea>
    </chartFormat>
    <chartFormat chart="0" format="38" series="1">
      <pivotArea type="data" outline="0" fieldPosition="0">
        <references count="3">
          <reference field="4294967294" count="1" selected="0">
            <x v="0"/>
          </reference>
          <reference field="0" count="1" selected="0">
            <x v="1"/>
          </reference>
          <reference field="1" count="1" selected="0">
            <x v="38"/>
          </reference>
        </references>
      </pivotArea>
    </chartFormat>
    <chartFormat chart="0" format="39" series="1">
      <pivotArea type="data" outline="0" fieldPosition="0">
        <references count="3">
          <reference field="4294967294" count="1" selected="0">
            <x v="0"/>
          </reference>
          <reference field="0" count="1" selected="0">
            <x v="1"/>
          </reference>
          <reference field="1" count="1" selected="0">
            <x v="39"/>
          </reference>
        </references>
      </pivotArea>
    </chartFormat>
    <chartFormat chart="0" format="40" series="1">
      <pivotArea type="data" outline="0" fieldPosition="0">
        <references count="3">
          <reference field="4294967294" count="1" selected="0">
            <x v="0"/>
          </reference>
          <reference field="0" count="1" selected="0">
            <x v="1"/>
          </reference>
          <reference field="1" count="1" selected="0">
            <x v="40"/>
          </reference>
        </references>
      </pivotArea>
    </chartFormat>
    <chartFormat chart="0" format="41" series="1">
      <pivotArea type="data" outline="0" fieldPosition="0">
        <references count="3">
          <reference field="4294967294" count="1" selected="0">
            <x v="0"/>
          </reference>
          <reference field="0" count="1" selected="0">
            <x v="1"/>
          </reference>
          <reference field="1" count="1" selected="0">
            <x v="41"/>
          </reference>
        </references>
      </pivotArea>
    </chartFormat>
    <chartFormat chart="0" format="42" series="1">
      <pivotArea type="data" outline="0" fieldPosition="0">
        <references count="3">
          <reference field="4294967294" count="1" selected="0">
            <x v="0"/>
          </reference>
          <reference field="0" count="1" selected="0">
            <x v="1"/>
          </reference>
          <reference field="1" count="1" selected="0">
            <x v="42"/>
          </reference>
        </references>
      </pivotArea>
    </chartFormat>
    <chartFormat chart="0" format="43" series="1">
      <pivotArea type="data" outline="0" fieldPosition="0">
        <references count="3">
          <reference field="4294967294" count="1" selected="0">
            <x v="0"/>
          </reference>
          <reference field="0" count="1" selected="0">
            <x v="1"/>
          </reference>
          <reference field="1" count="1" selected="0">
            <x v="43"/>
          </reference>
        </references>
      </pivotArea>
    </chartFormat>
    <chartFormat chart="0" format="44" series="1">
      <pivotArea type="data" outline="0" fieldPosition="0">
        <references count="3">
          <reference field="4294967294" count="1" selected="0">
            <x v="0"/>
          </reference>
          <reference field="0" count="1" selected="0">
            <x v="1"/>
          </reference>
          <reference field="1" count="1" selected="0">
            <x v="44"/>
          </reference>
        </references>
      </pivotArea>
    </chartFormat>
    <chartFormat chart="0" format="45" series="1">
      <pivotArea type="data" outline="0" fieldPosition="0">
        <references count="3">
          <reference field="4294967294" count="1" selected="0">
            <x v="0"/>
          </reference>
          <reference field="0" count="1" selected="0">
            <x v="1"/>
          </reference>
          <reference field="1" count="1" selected="0">
            <x v="45"/>
          </reference>
        </references>
      </pivotArea>
    </chartFormat>
    <chartFormat chart="0" format="46" series="1">
      <pivotArea type="data" outline="0" fieldPosition="0">
        <references count="3">
          <reference field="4294967294" count="1" selected="0">
            <x v="0"/>
          </reference>
          <reference field="0" count="1" selected="0">
            <x v="1"/>
          </reference>
          <reference field="1" count="1" selected="0">
            <x v="46"/>
          </reference>
        </references>
      </pivotArea>
    </chartFormat>
    <chartFormat chart="0" format="47" series="1">
      <pivotArea type="data" outline="0" fieldPosition="0">
        <references count="3">
          <reference field="4294967294" count="1" selected="0">
            <x v="0"/>
          </reference>
          <reference field="0" count="1" selected="0">
            <x v="1"/>
          </reference>
          <reference field="1" count="1" selected="0">
            <x v="47"/>
          </reference>
        </references>
      </pivotArea>
    </chartFormat>
    <chartFormat chart="0" format="48" series="1">
      <pivotArea type="data" outline="0" fieldPosition="0">
        <references count="3">
          <reference field="4294967294" count="1" selected="0">
            <x v="0"/>
          </reference>
          <reference field="0" count="1" selected="0">
            <x v="1"/>
          </reference>
          <reference field="1" count="1" selected="0">
            <x v="48"/>
          </reference>
        </references>
      </pivotArea>
    </chartFormat>
    <chartFormat chart="0" format="49" series="1">
      <pivotArea type="data" outline="0" fieldPosition="0">
        <references count="3">
          <reference field="4294967294" count="1" selected="0">
            <x v="0"/>
          </reference>
          <reference field="0" count="1" selected="0">
            <x v="1"/>
          </reference>
          <reference field="1" count="1" selected="0">
            <x v="49"/>
          </reference>
        </references>
      </pivotArea>
    </chartFormat>
    <chartFormat chart="0" format="50" series="1">
      <pivotArea type="data" outline="0" fieldPosition="0">
        <references count="3">
          <reference field="4294967294" count="1" selected="0">
            <x v="0"/>
          </reference>
          <reference field="0" count="1" selected="0">
            <x v="1"/>
          </reference>
          <reference field="1" count="1" selected="0">
            <x v="50"/>
          </reference>
        </references>
      </pivotArea>
    </chartFormat>
    <chartFormat chart="0" format="51" series="1">
      <pivotArea type="data" outline="0" fieldPosition="0">
        <references count="3">
          <reference field="4294967294" count="1" selected="0">
            <x v="0"/>
          </reference>
          <reference field="0" count="1" selected="0">
            <x v="1"/>
          </reference>
          <reference field="1" count="1" selected="0">
            <x v="51"/>
          </reference>
        </references>
      </pivotArea>
    </chartFormat>
    <chartFormat chart="0" format="52" series="1">
      <pivotArea type="data" outline="0" fieldPosition="0">
        <references count="3">
          <reference field="4294967294" count="1" selected="0">
            <x v="0"/>
          </reference>
          <reference field="0" count="1" selected="0">
            <x v="1"/>
          </reference>
          <reference field="1" count="1" selected="0">
            <x v="52"/>
          </reference>
        </references>
      </pivotArea>
    </chartFormat>
    <chartFormat chart="0" format="53" series="1">
      <pivotArea type="data" outline="0" fieldPosition="0">
        <references count="3">
          <reference field="4294967294" count="1" selected="0">
            <x v="0"/>
          </reference>
          <reference field="0" count="1" selected="0">
            <x v="1"/>
          </reference>
          <reference field="1" count="1" selected="0">
            <x v="53"/>
          </reference>
        </references>
      </pivotArea>
    </chartFormat>
    <chartFormat chart="0" format="54" series="1">
      <pivotArea type="data" outline="0" fieldPosition="0">
        <references count="3">
          <reference field="4294967294" count="1" selected="0">
            <x v="0"/>
          </reference>
          <reference field="0" count="1" selected="0">
            <x v="1"/>
          </reference>
          <reference field="1" count="1" selected="0">
            <x v="54"/>
          </reference>
        </references>
      </pivotArea>
    </chartFormat>
    <chartFormat chart="0" format="55" series="1">
      <pivotArea type="data" outline="0" fieldPosition="0">
        <references count="3">
          <reference field="4294967294" count="1" selected="0">
            <x v="0"/>
          </reference>
          <reference field="0" count="1" selected="0">
            <x v="1"/>
          </reference>
          <reference field="1" count="1" selected="0">
            <x v="55"/>
          </reference>
        </references>
      </pivotArea>
    </chartFormat>
    <chartFormat chart="0" format="56" series="1">
      <pivotArea type="data" outline="0" fieldPosition="0">
        <references count="3">
          <reference field="4294967294" count="1" selected="0">
            <x v="0"/>
          </reference>
          <reference field="0" count="1" selected="0">
            <x v="1"/>
          </reference>
          <reference field="1" count="1" selected="0">
            <x v="56"/>
          </reference>
        </references>
      </pivotArea>
    </chartFormat>
    <chartFormat chart="0" format="57" series="1">
      <pivotArea type="data" outline="0" fieldPosition="0">
        <references count="3">
          <reference field="4294967294" count="1" selected="0">
            <x v="0"/>
          </reference>
          <reference field="0" count="1" selected="0">
            <x v="1"/>
          </reference>
          <reference field="1" count="1" selected="0">
            <x v="57"/>
          </reference>
        </references>
      </pivotArea>
    </chartFormat>
    <chartFormat chart="0" format="58" series="1">
      <pivotArea type="data" outline="0" fieldPosition="0">
        <references count="3">
          <reference field="4294967294" count="1" selected="0">
            <x v="0"/>
          </reference>
          <reference field="0" count="1" selected="0">
            <x v="1"/>
          </reference>
          <reference field="1" count="1" selected="0">
            <x v="58"/>
          </reference>
        </references>
      </pivotArea>
    </chartFormat>
    <chartFormat chart="0" format="59" series="1">
      <pivotArea type="data" outline="0" fieldPosition="0">
        <references count="3">
          <reference field="4294967294" count="1" selected="0">
            <x v="0"/>
          </reference>
          <reference field="0" count="1" selected="0">
            <x v="2"/>
          </reference>
          <reference field="1" count="1" selected="0">
            <x v="59"/>
          </reference>
        </references>
      </pivotArea>
    </chartFormat>
    <chartFormat chart="0" format="60" series="1">
      <pivotArea type="data" outline="0" fieldPosition="0">
        <references count="3">
          <reference field="4294967294" count="1" selected="0">
            <x v="0"/>
          </reference>
          <reference field="0" count="1" selected="0">
            <x v="2"/>
          </reference>
          <reference field="1" count="1" selected="0">
            <x v="60"/>
          </reference>
        </references>
      </pivotArea>
    </chartFormat>
    <chartFormat chart="0" format="61" series="1">
      <pivotArea type="data" outline="0" fieldPosition="0">
        <references count="3">
          <reference field="4294967294" count="1" selected="0">
            <x v="0"/>
          </reference>
          <reference field="0" count="1" selected="0">
            <x v="2"/>
          </reference>
          <reference field="1" count="1" selected="0">
            <x v="61"/>
          </reference>
        </references>
      </pivotArea>
    </chartFormat>
    <chartFormat chart="0" format="62" series="1">
      <pivotArea type="data" outline="0" fieldPosition="0">
        <references count="3">
          <reference field="4294967294" count="1" selected="0">
            <x v="0"/>
          </reference>
          <reference field="0" count="1" selected="0">
            <x v="2"/>
          </reference>
          <reference field="1" count="1" selected="0">
            <x v="62"/>
          </reference>
        </references>
      </pivotArea>
    </chartFormat>
    <chartFormat chart="0" format="63" series="1">
      <pivotArea type="data" outline="0" fieldPosition="0">
        <references count="3">
          <reference field="4294967294" count="1" selected="0">
            <x v="0"/>
          </reference>
          <reference field="0" count="1" selected="0">
            <x v="2"/>
          </reference>
          <reference field="1" count="1" selected="0">
            <x v="63"/>
          </reference>
        </references>
      </pivotArea>
    </chartFormat>
    <chartFormat chart="0" format="64" series="1">
      <pivotArea type="data" outline="0" fieldPosition="0">
        <references count="3">
          <reference field="4294967294" count="1" selected="0">
            <x v="0"/>
          </reference>
          <reference field="0" count="1" selected="0">
            <x v="2"/>
          </reference>
          <reference field="1" count="1" selected="0">
            <x v="64"/>
          </reference>
        </references>
      </pivotArea>
    </chartFormat>
    <chartFormat chart="0" format="65" series="1">
      <pivotArea type="data" outline="0" fieldPosition="0">
        <references count="3">
          <reference field="4294967294" count="1" selected="0">
            <x v="0"/>
          </reference>
          <reference field="0" count="1" selected="0">
            <x v="2"/>
          </reference>
          <reference field="1" count="1" selected="0">
            <x v="65"/>
          </reference>
        </references>
      </pivotArea>
    </chartFormat>
    <chartFormat chart="0" format="66" series="1">
      <pivotArea type="data" outline="0" fieldPosition="0">
        <references count="3">
          <reference field="4294967294" count="1" selected="0">
            <x v="0"/>
          </reference>
          <reference field="0" count="1" selected="0">
            <x v="2"/>
          </reference>
          <reference field="1" count="1" selected="0">
            <x v="66"/>
          </reference>
        </references>
      </pivotArea>
    </chartFormat>
    <chartFormat chart="0" format="67" series="1">
      <pivotArea type="data" outline="0" fieldPosition="0">
        <references count="3">
          <reference field="4294967294" count="1" selected="0">
            <x v="0"/>
          </reference>
          <reference field="0" count="1" selected="0">
            <x v="2"/>
          </reference>
          <reference field="1" count="1" selected="0">
            <x v="67"/>
          </reference>
        </references>
      </pivotArea>
    </chartFormat>
    <chartFormat chart="0" format="68" series="1">
      <pivotArea type="data" outline="0" fieldPosition="0">
        <references count="3">
          <reference field="4294967294" count="1" selected="0">
            <x v="0"/>
          </reference>
          <reference field="0" count="1" selected="0">
            <x v="2"/>
          </reference>
          <reference field="1" count="1" selected="0">
            <x v="68"/>
          </reference>
        </references>
      </pivotArea>
    </chartFormat>
    <chartFormat chart="0" format="69" series="1">
      <pivotArea type="data" outline="0" fieldPosition="0">
        <references count="3">
          <reference field="4294967294" count="1" selected="0">
            <x v="0"/>
          </reference>
          <reference field="0" count="1" selected="0">
            <x v="2"/>
          </reference>
          <reference field="1" count="1" selected="0">
            <x v="69"/>
          </reference>
        </references>
      </pivotArea>
    </chartFormat>
    <chartFormat chart="0" format="70" series="1">
      <pivotArea type="data" outline="0" fieldPosition="0">
        <references count="3">
          <reference field="4294967294" count="1" selected="0">
            <x v="0"/>
          </reference>
          <reference field="0" count="1" selected="0">
            <x v="2"/>
          </reference>
          <reference field="1" count="1" selected="0">
            <x v="70"/>
          </reference>
        </references>
      </pivotArea>
    </chartFormat>
    <chartFormat chart="0" format="71" series="1">
      <pivotArea type="data" outline="0" fieldPosition="0">
        <references count="3">
          <reference field="4294967294" count="1" selected="0">
            <x v="0"/>
          </reference>
          <reference field="0" count="1" selected="0">
            <x v="2"/>
          </reference>
          <reference field="1" count="1" selected="0">
            <x v="71"/>
          </reference>
        </references>
      </pivotArea>
    </chartFormat>
    <chartFormat chart="0" format="72" series="1">
      <pivotArea type="data" outline="0" fieldPosition="0">
        <references count="3">
          <reference field="4294967294" count="1" selected="0">
            <x v="0"/>
          </reference>
          <reference field="0" count="1" selected="0">
            <x v="2"/>
          </reference>
          <reference field="1" count="1" selected="0">
            <x v="72"/>
          </reference>
        </references>
      </pivotArea>
    </chartFormat>
    <chartFormat chart="0" format="73" series="1">
      <pivotArea type="data" outline="0" fieldPosition="0">
        <references count="3">
          <reference field="4294967294" count="1" selected="0">
            <x v="0"/>
          </reference>
          <reference field="0" count="1" selected="0">
            <x v="2"/>
          </reference>
          <reference field="1" count="1" selected="0">
            <x v="73"/>
          </reference>
        </references>
      </pivotArea>
    </chartFormat>
    <chartFormat chart="0" format="74" series="1">
      <pivotArea type="data" outline="0" fieldPosition="0">
        <references count="3">
          <reference field="4294967294" count="1" selected="0">
            <x v="0"/>
          </reference>
          <reference field="0" count="1" selected="0">
            <x v="2"/>
          </reference>
          <reference field="1" count="1" selected="0">
            <x v="74"/>
          </reference>
        </references>
      </pivotArea>
    </chartFormat>
    <chartFormat chart="0" format="75" series="1">
      <pivotArea type="data" outline="0" fieldPosition="0">
        <references count="3">
          <reference field="4294967294" count="1" selected="0">
            <x v="0"/>
          </reference>
          <reference field="0" count="1" selected="0">
            <x v="2"/>
          </reference>
          <reference field="1" count="1" selected="0">
            <x v="75"/>
          </reference>
        </references>
      </pivotArea>
    </chartFormat>
    <chartFormat chart="0" format="76" series="1">
      <pivotArea type="data" outline="0" fieldPosition="0">
        <references count="3">
          <reference field="4294967294" count="1" selected="0">
            <x v="0"/>
          </reference>
          <reference field="0" count="1" selected="0">
            <x v="2"/>
          </reference>
          <reference field="1" count="1" selected="0">
            <x v="76"/>
          </reference>
        </references>
      </pivotArea>
    </chartFormat>
    <chartFormat chart="0" format="77" series="1">
      <pivotArea type="data" outline="0" fieldPosition="0">
        <references count="3">
          <reference field="4294967294" count="1" selected="0">
            <x v="0"/>
          </reference>
          <reference field="0" count="1" selected="0">
            <x v="2"/>
          </reference>
          <reference field="1" count="1" selected="0">
            <x v="77"/>
          </reference>
        </references>
      </pivotArea>
    </chartFormat>
    <chartFormat chart="0" format="78" series="1">
      <pivotArea type="data" outline="0" fieldPosition="0">
        <references count="3">
          <reference field="4294967294" count="1" selected="0">
            <x v="0"/>
          </reference>
          <reference field="0" count="1" selected="0">
            <x v="2"/>
          </reference>
          <reference field="1" count="1" selected="0">
            <x v="78"/>
          </reference>
        </references>
      </pivotArea>
    </chartFormat>
    <chartFormat chart="0" format="79" series="1">
      <pivotArea type="data" outline="0" fieldPosition="0">
        <references count="3">
          <reference field="4294967294" count="1" selected="0">
            <x v="0"/>
          </reference>
          <reference field="0" count="1" selected="0">
            <x v="2"/>
          </reference>
          <reference field="1" count="1" selected="0">
            <x v="79"/>
          </reference>
        </references>
      </pivotArea>
    </chartFormat>
    <chartFormat chart="0" format="80" series="1">
      <pivotArea type="data" outline="0" fieldPosition="0">
        <references count="3">
          <reference field="4294967294" count="1" selected="0">
            <x v="0"/>
          </reference>
          <reference field="0" count="1" selected="0">
            <x v="2"/>
          </reference>
          <reference field="1" count="1" selected="0">
            <x v="80"/>
          </reference>
        </references>
      </pivotArea>
    </chartFormat>
    <chartFormat chart="0" format="81" series="1">
      <pivotArea type="data" outline="0" fieldPosition="0">
        <references count="3">
          <reference field="4294967294" count="1" selected="0">
            <x v="0"/>
          </reference>
          <reference field="0" count="1" selected="0">
            <x v="2"/>
          </reference>
          <reference field="1" count="1" selected="0">
            <x v="81"/>
          </reference>
        </references>
      </pivotArea>
    </chartFormat>
    <chartFormat chart="0" format="82" series="1">
      <pivotArea type="data" outline="0" fieldPosition="0">
        <references count="3">
          <reference field="4294967294" count="1" selected="0">
            <x v="0"/>
          </reference>
          <reference field="0" count="1" selected="0">
            <x v="2"/>
          </reference>
          <reference field="1" count="1" selected="0">
            <x v="82"/>
          </reference>
        </references>
      </pivotArea>
    </chartFormat>
    <chartFormat chart="0" format="83" series="1">
      <pivotArea type="data" outline="0" fieldPosition="0">
        <references count="3">
          <reference field="4294967294" count="1" selected="0">
            <x v="0"/>
          </reference>
          <reference field="0" count="1" selected="0">
            <x v="2"/>
          </reference>
          <reference field="1" count="1" selected="0">
            <x v="83"/>
          </reference>
        </references>
      </pivotArea>
    </chartFormat>
    <chartFormat chart="0" format="84" series="1">
      <pivotArea type="data" outline="0" fieldPosition="0">
        <references count="3">
          <reference field="4294967294" count="1" selected="0">
            <x v="0"/>
          </reference>
          <reference field="0" count="1" selected="0">
            <x v="2"/>
          </reference>
          <reference field="1" count="1" selected="0">
            <x v="84"/>
          </reference>
        </references>
      </pivotArea>
    </chartFormat>
    <chartFormat chart="0" format="85" series="1">
      <pivotArea type="data" outline="0" fieldPosition="0">
        <references count="3">
          <reference field="4294967294" count="1" selected="0">
            <x v="0"/>
          </reference>
          <reference field="0" count="1" selected="0">
            <x v="2"/>
          </reference>
          <reference field="1" count="1" selected="0">
            <x v="85"/>
          </reference>
        </references>
      </pivotArea>
    </chartFormat>
    <chartFormat chart="0" format="86" series="1">
      <pivotArea type="data" outline="0" fieldPosition="0">
        <references count="3">
          <reference field="4294967294" count="1" selected="0">
            <x v="0"/>
          </reference>
          <reference field="0" count="1" selected="0">
            <x v="2"/>
          </reference>
          <reference field="1" count="1" selected="0">
            <x v="86"/>
          </reference>
        </references>
      </pivotArea>
    </chartFormat>
    <chartFormat chart="0" format="87" series="1">
      <pivotArea type="data" outline="0" fieldPosition="0">
        <references count="3">
          <reference field="4294967294" count="1" selected="0">
            <x v="0"/>
          </reference>
          <reference field="0" count="1" selected="0">
            <x v="2"/>
          </reference>
          <reference field="1" count="1" selected="0">
            <x v="87"/>
          </reference>
        </references>
      </pivotArea>
    </chartFormat>
    <chartFormat chart="0" format="88" series="1">
      <pivotArea type="data" outline="0" fieldPosition="0">
        <references count="3">
          <reference field="4294967294" count="1" selected="0">
            <x v="0"/>
          </reference>
          <reference field="0" count="1" selected="0">
            <x v="2"/>
          </reference>
          <reference field="1" count="1" selected="0">
            <x v="88"/>
          </reference>
        </references>
      </pivotArea>
    </chartFormat>
    <chartFormat chart="0" format="89" series="1">
      <pivotArea type="data" outline="0" fieldPosition="0">
        <references count="3">
          <reference field="4294967294" count="1" selected="0">
            <x v="0"/>
          </reference>
          <reference field="0" count="1" selected="0">
            <x v="2"/>
          </reference>
          <reference field="1" count="1" selected="0">
            <x v="89"/>
          </reference>
        </references>
      </pivotArea>
    </chartFormat>
    <chartFormat chart="0" format="90" series="1">
      <pivotArea type="data" outline="0" fieldPosition="0">
        <references count="3">
          <reference field="4294967294" count="1" selected="0">
            <x v="0"/>
          </reference>
          <reference field="0" count="1" selected="0">
            <x v="3"/>
          </reference>
          <reference field="1" count="1" selected="0">
            <x v="90"/>
          </reference>
        </references>
      </pivotArea>
    </chartFormat>
    <chartFormat chart="0" format="91" series="1">
      <pivotArea type="data" outline="0" fieldPosition="0">
        <references count="3">
          <reference field="4294967294" count="1" selected="0">
            <x v="0"/>
          </reference>
          <reference field="0" count="1" selected="0">
            <x v="3"/>
          </reference>
          <reference field="1" count="1" selected="0">
            <x v="91"/>
          </reference>
        </references>
      </pivotArea>
    </chartFormat>
    <chartFormat chart="0" format="92" series="1">
      <pivotArea type="data" outline="0" fieldPosition="0">
        <references count="3">
          <reference field="4294967294" count="1" selected="0">
            <x v="0"/>
          </reference>
          <reference field="0" count="1" selected="0">
            <x v="3"/>
          </reference>
          <reference field="1" count="1" selected="0">
            <x v="92"/>
          </reference>
        </references>
      </pivotArea>
    </chartFormat>
    <chartFormat chart="0" format="93" series="1">
      <pivotArea type="data" outline="0" fieldPosition="0">
        <references count="3">
          <reference field="4294967294" count="1" selected="0">
            <x v="0"/>
          </reference>
          <reference field="0" count="1" selected="0">
            <x v="3"/>
          </reference>
          <reference field="1" count="1" selected="0">
            <x v="93"/>
          </reference>
        </references>
      </pivotArea>
    </chartFormat>
    <chartFormat chart="0" format="94" series="1">
      <pivotArea type="data" outline="0" fieldPosition="0">
        <references count="3">
          <reference field="4294967294" count="1" selected="0">
            <x v="0"/>
          </reference>
          <reference field="0" count="1" selected="0">
            <x v="3"/>
          </reference>
          <reference field="1" count="1" selected="0">
            <x v="94"/>
          </reference>
        </references>
      </pivotArea>
    </chartFormat>
    <chartFormat chart="0" format="95" series="1">
      <pivotArea type="data" outline="0" fieldPosition="0">
        <references count="3">
          <reference field="4294967294" count="1" selected="0">
            <x v="0"/>
          </reference>
          <reference field="0" count="1" selected="0">
            <x v="3"/>
          </reference>
          <reference field="1" count="1" selected="0">
            <x v="95"/>
          </reference>
        </references>
      </pivotArea>
    </chartFormat>
    <chartFormat chart="0" format="96" series="1">
      <pivotArea type="data" outline="0" fieldPosition="0">
        <references count="3">
          <reference field="4294967294" count="1" selected="0">
            <x v="0"/>
          </reference>
          <reference field="0" count="1" selected="0">
            <x v="3"/>
          </reference>
          <reference field="1" count="1" selected="0">
            <x v="96"/>
          </reference>
        </references>
      </pivotArea>
    </chartFormat>
    <chartFormat chart="0" format="97" series="1">
      <pivotArea type="data" outline="0" fieldPosition="0">
        <references count="3">
          <reference field="4294967294" count="1" selected="0">
            <x v="0"/>
          </reference>
          <reference field="0" count="1" selected="0">
            <x v="3"/>
          </reference>
          <reference field="1" count="1" selected="0">
            <x v="97"/>
          </reference>
        </references>
      </pivotArea>
    </chartFormat>
    <chartFormat chart="0" format="98" series="1">
      <pivotArea type="data" outline="0" fieldPosition="0">
        <references count="3">
          <reference field="4294967294" count="1" selected="0">
            <x v="0"/>
          </reference>
          <reference field="0" count="1" selected="0">
            <x v="3"/>
          </reference>
          <reference field="1" count="1" selected="0">
            <x v="98"/>
          </reference>
        </references>
      </pivotArea>
    </chartFormat>
    <chartFormat chart="0" format="99" series="1">
      <pivotArea type="data" outline="0" fieldPosition="0">
        <references count="3">
          <reference field="4294967294" count="1" selected="0">
            <x v="0"/>
          </reference>
          <reference field="0" count="1" selected="0">
            <x v="3"/>
          </reference>
          <reference field="1" count="1" selected="0">
            <x v="99"/>
          </reference>
        </references>
      </pivotArea>
    </chartFormat>
    <chartFormat chart="0" format="100" series="1">
      <pivotArea type="data" outline="0" fieldPosition="0">
        <references count="3">
          <reference field="4294967294" count="1" selected="0">
            <x v="0"/>
          </reference>
          <reference field="0" count="1" selected="0">
            <x v="3"/>
          </reference>
          <reference field="1" count="1" selected="0">
            <x v="100"/>
          </reference>
        </references>
      </pivotArea>
    </chartFormat>
    <chartFormat chart="0" format="101" series="1">
      <pivotArea type="data" outline="0" fieldPosition="0">
        <references count="3">
          <reference field="4294967294" count="1" selected="0">
            <x v="0"/>
          </reference>
          <reference field="0" count="1" selected="0">
            <x v="3"/>
          </reference>
          <reference field="1" count="1" selected="0">
            <x v="101"/>
          </reference>
        </references>
      </pivotArea>
    </chartFormat>
    <chartFormat chart="0" format="102" series="1">
      <pivotArea type="data" outline="0" fieldPosition="0">
        <references count="3">
          <reference field="4294967294" count="1" selected="0">
            <x v="0"/>
          </reference>
          <reference field="0" count="1" selected="0">
            <x v="3"/>
          </reference>
          <reference field="1" count="1" selected="0">
            <x v="102"/>
          </reference>
        </references>
      </pivotArea>
    </chartFormat>
    <chartFormat chart="0" format="103" series="1">
      <pivotArea type="data" outline="0" fieldPosition="0">
        <references count="3">
          <reference field="4294967294" count="1" selected="0">
            <x v="0"/>
          </reference>
          <reference field="0" count="1" selected="0">
            <x v="3"/>
          </reference>
          <reference field="1" count="1" selected="0">
            <x v="103"/>
          </reference>
        </references>
      </pivotArea>
    </chartFormat>
    <chartFormat chart="0" format="104" series="1">
      <pivotArea type="data" outline="0" fieldPosition="0">
        <references count="3">
          <reference field="4294967294" count="1" selected="0">
            <x v="0"/>
          </reference>
          <reference field="0" count="1" selected="0">
            <x v="3"/>
          </reference>
          <reference field="1" count="1" selected="0">
            <x v="104"/>
          </reference>
        </references>
      </pivotArea>
    </chartFormat>
    <chartFormat chart="0" format="105" series="1">
      <pivotArea type="data" outline="0" fieldPosition="0">
        <references count="3">
          <reference field="4294967294" count="1" selected="0">
            <x v="0"/>
          </reference>
          <reference field="0" count="1" selected="0">
            <x v="3"/>
          </reference>
          <reference field="1" count="1" selected="0">
            <x v="105"/>
          </reference>
        </references>
      </pivotArea>
    </chartFormat>
    <chartFormat chart="0" format="106" series="1">
      <pivotArea type="data" outline="0" fieldPosition="0">
        <references count="3">
          <reference field="4294967294" count="1" selected="0">
            <x v="0"/>
          </reference>
          <reference field="0" count="1" selected="0">
            <x v="3"/>
          </reference>
          <reference field="1" count="1" selected="0">
            <x v="106"/>
          </reference>
        </references>
      </pivotArea>
    </chartFormat>
    <chartFormat chart="0" format="107" series="1">
      <pivotArea type="data" outline="0" fieldPosition="0">
        <references count="3">
          <reference field="4294967294" count="1" selected="0">
            <x v="0"/>
          </reference>
          <reference field="0" count="1" selected="0">
            <x v="3"/>
          </reference>
          <reference field="1" count="1" selected="0">
            <x v="107"/>
          </reference>
        </references>
      </pivotArea>
    </chartFormat>
    <chartFormat chart="0" format="108" series="1">
      <pivotArea type="data" outline="0" fieldPosition="0">
        <references count="3">
          <reference field="4294967294" count="1" selected="0">
            <x v="0"/>
          </reference>
          <reference field="0" count="1" selected="0">
            <x v="3"/>
          </reference>
          <reference field="1" count="1" selected="0">
            <x v="108"/>
          </reference>
        </references>
      </pivotArea>
    </chartFormat>
    <chartFormat chart="0" format="109" series="1">
      <pivotArea type="data" outline="0" fieldPosition="0">
        <references count="3">
          <reference field="4294967294" count="1" selected="0">
            <x v="0"/>
          </reference>
          <reference field="0" count="1" selected="0">
            <x v="3"/>
          </reference>
          <reference field="1" count="1" selected="0">
            <x v="109"/>
          </reference>
        </references>
      </pivotArea>
    </chartFormat>
    <chartFormat chart="0" format="110" series="1">
      <pivotArea type="data" outline="0" fieldPosition="0">
        <references count="3">
          <reference field="4294967294" count="1" selected="0">
            <x v="0"/>
          </reference>
          <reference field="0" count="1" selected="0">
            <x v="3"/>
          </reference>
          <reference field="1" count="1" selected="0">
            <x v="110"/>
          </reference>
        </references>
      </pivotArea>
    </chartFormat>
    <chartFormat chart="0" format="111" series="1">
      <pivotArea type="data" outline="0" fieldPosition="0">
        <references count="3">
          <reference field="4294967294" count="1" selected="0">
            <x v="0"/>
          </reference>
          <reference field="0" count="1" selected="0">
            <x v="3"/>
          </reference>
          <reference field="1" count="1" selected="0">
            <x v="111"/>
          </reference>
        </references>
      </pivotArea>
    </chartFormat>
    <chartFormat chart="0" format="112" series="1">
      <pivotArea type="data" outline="0" fieldPosition="0">
        <references count="3">
          <reference field="4294967294" count="1" selected="0">
            <x v="0"/>
          </reference>
          <reference field="0" count="1" selected="0">
            <x v="3"/>
          </reference>
          <reference field="1" count="1" selected="0">
            <x v="112"/>
          </reference>
        </references>
      </pivotArea>
    </chartFormat>
    <chartFormat chart="0" format="113" series="1">
      <pivotArea type="data" outline="0" fieldPosition="0">
        <references count="3">
          <reference field="4294967294" count="1" selected="0">
            <x v="0"/>
          </reference>
          <reference field="0" count="1" selected="0">
            <x v="3"/>
          </reference>
          <reference field="1" count="1" selected="0">
            <x v="113"/>
          </reference>
        </references>
      </pivotArea>
    </chartFormat>
    <chartFormat chart="0" format="114" series="1">
      <pivotArea type="data" outline="0" fieldPosition="0">
        <references count="3">
          <reference field="4294967294" count="1" selected="0">
            <x v="0"/>
          </reference>
          <reference field="0" count="1" selected="0">
            <x v="3"/>
          </reference>
          <reference field="1" count="1" selected="0">
            <x v="114"/>
          </reference>
        </references>
      </pivotArea>
    </chartFormat>
    <chartFormat chart="0" format="115" series="1">
      <pivotArea type="data" outline="0" fieldPosition="0">
        <references count="3">
          <reference field="4294967294" count="1" selected="0">
            <x v="0"/>
          </reference>
          <reference field="0" count="1" selected="0">
            <x v="3"/>
          </reference>
          <reference field="1" count="1" selected="0">
            <x v="115"/>
          </reference>
        </references>
      </pivotArea>
    </chartFormat>
    <chartFormat chart="0" format="116" series="1">
      <pivotArea type="data" outline="0" fieldPosition="0">
        <references count="3">
          <reference field="4294967294" count="1" selected="0">
            <x v="0"/>
          </reference>
          <reference field="0" count="1" selected="0">
            <x v="3"/>
          </reference>
          <reference field="1" count="1" selected="0">
            <x v="116"/>
          </reference>
        </references>
      </pivotArea>
    </chartFormat>
    <chartFormat chart="0" format="117" series="1">
      <pivotArea type="data" outline="0" fieldPosition="0">
        <references count="3">
          <reference field="4294967294" count="1" selected="0">
            <x v="0"/>
          </reference>
          <reference field="0" count="1" selected="0">
            <x v="3"/>
          </reference>
          <reference field="1" count="1" selected="0">
            <x v="117"/>
          </reference>
        </references>
      </pivotArea>
    </chartFormat>
    <chartFormat chart="0" format="118" series="1">
      <pivotArea type="data" outline="0" fieldPosition="0">
        <references count="3">
          <reference field="4294967294" count="1" selected="0">
            <x v="0"/>
          </reference>
          <reference field="0" count="1" selected="0">
            <x v="3"/>
          </reference>
          <reference field="1" count="1" selected="0">
            <x v="118"/>
          </reference>
        </references>
      </pivotArea>
    </chartFormat>
    <chartFormat chart="0" format="119" series="1">
      <pivotArea type="data" outline="0" fieldPosition="0">
        <references count="3">
          <reference field="4294967294" count="1" selected="0">
            <x v="0"/>
          </reference>
          <reference field="0" count="1" selected="0">
            <x v="4"/>
          </reference>
          <reference field="1" count="1" selected="0">
            <x v="119"/>
          </reference>
        </references>
      </pivotArea>
    </chartFormat>
    <chartFormat chart="0" format="120" series="1">
      <pivotArea type="data" outline="0" fieldPosition="0">
        <references count="3">
          <reference field="4294967294" count="1" selected="0">
            <x v="0"/>
          </reference>
          <reference field="0" count="1" selected="0">
            <x v="4"/>
          </reference>
          <reference field="1" count="1" selected="0">
            <x v="120"/>
          </reference>
        </references>
      </pivotArea>
    </chartFormat>
    <chartFormat chart="0" format="121" series="1">
      <pivotArea type="data" outline="0" fieldPosition="0">
        <references count="3">
          <reference field="4294967294" count="1" selected="0">
            <x v="0"/>
          </reference>
          <reference field="0" count="1" selected="0">
            <x v="4"/>
          </reference>
          <reference field="1" count="1" selected="0">
            <x v="121"/>
          </reference>
        </references>
      </pivotArea>
    </chartFormat>
    <chartFormat chart="0" format="122" series="1">
      <pivotArea type="data" outline="0" fieldPosition="0">
        <references count="3">
          <reference field="4294967294" count="1" selected="0">
            <x v="0"/>
          </reference>
          <reference field="0" count="1" selected="0">
            <x v="4"/>
          </reference>
          <reference field="1" count="1" selected="0">
            <x v="122"/>
          </reference>
        </references>
      </pivotArea>
    </chartFormat>
    <chartFormat chart="0" format="123" series="1">
      <pivotArea type="data" outline="0" fieldPosition="0">
        <references count="3">
          <reference field="4294967294" count="1" selected="0">
            <x v="0"/>
          </reference>
          <reference field="0" count="1" selected="0">
            <x v="4"/>
          </reference>
          <reference field="1" count="1" selected="0">
            <x v="123"/>
          </reference>
        </references>
      </pivotArea>
    </chartFormat>
    <chartFormat chart="0" format="124" series="1">
      <pivotArea type="data" outline="0" fieldPosition="0">
        <references count="3">
          <reference field="4294967294" count="1" selected="0">
            <x v="0"/>
          </reference>
          <reference field="0" count="1" selected="0">
            <x v="4"/>
          </reference>
          <reference field="1" count="1" selected="0">
            <x v="124"/>
          </reference>
        </references>
      </pivotArea>
    </chartFormat>
    <chartFormat chart="0" format="125" series="1">
      <pivotArea type="data" outline="0" fieldPosition="0">
        <references count="3">
          <reference field="4294967294" count="1" selected="0">
            <x v="0"/>
          </reference>
          <reference field="0" count="1" selected="0">
            <x v="4"/>
          </reference>
          <reference field="1" count="1" selected="0">
            <x v="125"/>
          </reference>
        </references>
      </pivotArea>
    </chartFormat>
    <chartFormat chart="0" format="126" series="1">
      <pivotArea type="data" outline="0" fieldPosition="0">
        <references count="3">
          <reference field="4294967294" count="1" selected="0">
            <x v="0"/>
          </reference>
          <reference field="0" count="1" selected="0">
            <x v="4"/>
          </reference>
          <reference field="1" count="1" selected="0">
            <x v="126"/>
          </reference>
        </references>
      </pivotArea>
    </chartFormat>
    <chartFormat chart="0" format="127" series="1">
      <pivotArea type="data" outline="0" fieldPosition="0">
        <references count="3">
          <reference field="4294967294" count="1" selected="0">
            <x v="0"/>
          </reference>
          <reference field="0" count="1" selected="0">
            <x v="4"/>
          </reference>
          <reference field="1" count="1" selected="0">
            <x v="127"/>
          </reference>
        </references>
      </pivotArea>
    </chartFormat>
    <chartFormat chart="0" format="128" series="1">
      <pivotArea type="data" outline="0" fieldPosition="0">
        <references count="3">
          <reference field="4294967294" count="1" selected="0">
            <x v="0"/>
          </reference>
          <reference field="0" count="1" selected="0">
            <x v="4"/>
          </reference>
          <reference field="1" count="1" selected="0">
            <x v="128"/>
          </reference>
        </references>
      </pivotArea>
    </chartFormat>
    <chartFormat chart="0" format="129" series="1">
      <pivotArea type="data" outline="0" fieldPosition="0">
        <references count="3">
          <reference field="4294967294" count="1" selected="0">
            <x v="0"/>
          </reference>
          <reference field="0" count="1" selected="0">
            <x v="4"/>
          </reference>
          <reference field="1" count="1" selected="0">
            <x v="129"/>
          </reference>
        </references>
      </pivotArea>
    </chartFormat>
    <chartFormat chart="0" format="130" series="1">
      <pivotArea type="data" outline="0" fieldPosition="0">
        <references count="3">
          <reference field="4294967294" count="1" selected="0">
            <x v="0"/>
          </reference>
          <reference field="0" count="1" selected="0">
            <x v="4"/>
          </reference>
          <reference field="1" count="1" selected="0">
            <x v="130"/>
          </reference>
        </references>
      </pivotArea>
    </chartFormat>
    <chartFormat chart="0" format="131" series="1">
      <pivotArea type="data" outline="0" fieldPosition="0">
        <references count="3">
          <reference field="4294967294" count="1" selected="0">
            <x v="0"/>
          </reference>
          <reference field="0" count="1" selected="0">
            <x v="4"/>
          </reference>
          <reference field="1" count="1" selected="0">
            <x v="131"/>
          </reference>
        </references>
      </pivotArea>
    </chartFormat>
    <chartFormat chart="0" format="132" series="1">
      <pivotArea type="data" outline="0" fieldPosition="0">
        <references count="3">
          <reference field="4294967294" count="1" selected="0">
            <x v="0"/>
          </reference>
          <reference field="0" count="1" selected="0">
            <x v="4"/>
          </reference>
          <reference field="1" count="1" selected="0">
            <x v="132"/>
          </reference>
        </references>
      </pivotArea>
    </chartFormat>
    <chartFormat chart="0" format="133" series="1">
      <pivotArea type="data" outline="0" fieldPosition="0">
        <references count="3">
          <reference field="4294967294" count="1" selected="0">
            <x v="0"/>
          </reference>
          <reference field="0" count="1" selected="0">
            <x v="4"/>
          </reference>
          <reference field="1" count="1" selected="0">
            <x v="133"/>
          </reference>
        </references>
      </pivotArea>
    </chartFormat>
    <chartFormat chart="0" format="134" series="1">
      <pivotArea type="data" outline="0" fieldPosition="0">
        <references count="3">
          <reference field="4294967294" count="1" selected="0">
            <x v="0"/>
          </reference>
          <reference field="0" count="1" selected="0">
            <x v="4"/>
          </reference>
          <reference field="1" count="1" selected="0">
            <x v="134"/>
          </reference>
        </references>
      </pivotArea>
    </chartFormat>
    <chartFormat chart="0" format="135" series="1">
      <pivotArea type="data" outline="0" fieldPosition="0">
        <references count="3">
          <reference field="4294967294" count="1" selected="0">
            <x v="0"/>
          </reference>
          <reference field="0" count="1" selected="0">
            <x v="4"/>
          </reference>
          <reference field="1" count="1" selected="0">
            <x v="135"/>
          </reference>
        </references>
      </pivotArea>
    </chartFormat>
    <chartFormat chart="0" format="136" series="1">
      <pivotArea type="data" outline="0" fieldPosition="0">
        <references count="3">
          <reference field="4294967294" count="1" selected="0">
            <x v="0"/>
          </reference>
          <reference field="0" count="1" selected="0">
            <x v="4"/>
          </reference>
          <reference field="1" count="1" selected="0">
            <x v="136"/>
          </reference>
        </references>
      </pivotArea>
    </chartFormat>
    <chartFormat chart="0" format="137" series="1">
      <pivotArea type="data" outline="0" fieldPosition="0">
        <references count="3">
          <reference field="4294967294" count="1" selected="0">
            <x v="0"/>
          </reference>
          <reference field="0" count="1" selected="0">
            <x v="4"/>
          </reference>
          <reference field="1" count="1" selected="0">
            <x v="137"/>
          </reference>
        </references>
      </pivotArea>
    </chartFormat>
    <chartFormat chart="0" format="138" series="1">
      <pivotArea type="data" outline="0" fieldPosition="0">
        <references count="3">
          <reference field="4294967294" count="1" selected="0">
            <x v="0"/>
          </reference>
          <reference field="0" count="1" selected="0">
            <x v="4"/>
          </reference>
          <reference field="1" count="1" selected="0">
            <x v="138"/>
          </reference>
        </references>
      </pivotArea>
    </chartFormat>
    <chartFormat chart="0" format="139" series="1">
      <pivotArea type="data" outline="0" fieldPosition="0">
        <references count="3">
          <reference field="4294967294" count="1" selected="0">
            <x v="0"/>
          </reference>
          <reference field="0" count="1" selected="0">
            <x v="4"/>
          </reference>
          <reference field="1" count="1" selected="0">
            <x v="139"/>
          </reference>
        </references>
      </pivotArea>
    </chartFormat>
    <chartFormat chart="0" format="140" series="1">
      <pivotArea type="data" outline="0" fieldPosition="0">
        <references count="3">
          <reference field="4294967294" count="1" selected="0">
            <x v="0"/>
          </reference>
          <reference field="0" count="1" selected="0">
            <x v="4"/>
          </reference>
          <reference field="1" count="1" selected="0">
            <x v="140"/>
          </reference>
        </references>
      </pivotArea>
    </chartFormat>
    <chartFormat chart="0" format="141" series="1">
      <pivotArea type="data" outline="0" fieldPosition="0">
        <references count="3">
          <reference field="4294967294" count="1" selected="0">
            <x v="0"/>
          </reference>
          <reference field="0" count="1" selected="0">
            <x v="4"/>
          </reference>
          <reference field="1" count="1" selected="0">
            <x v="141"/>
          </reference>
        </references>
      </pivotArea>
    </chartFormat>
    <chartFormat chart="0" format="142" series="1">
      <pivotArea type="data" outline="0" fieldPosition="0">
        <references count="3">
          <reference field="4294967294" count="1" selected="0">
            <x v="0"/>
          </reference>
          <reference field="0" count="1" selected="0">
            <x v="4"/>
          </reference>
          <reference field="1" count="1" selected="0">
            <x v="142"/>
          </reference>
        </references>
      </pivotArea>
    </chartFormat>
    <chartFormat chart="0" format="143" series="1">
      <pivotArea type="data" outline="0" fieldPosition="0">
        <references count="3">
          <reference field="4294967294" count="1" selected="0">
            <x v="0"/>
          </reference>
          <reference field="0" count="1" selected="0">
            <x v="4"/>
          </reference>
          <reference field="1" count="1" selected="0">
            <x v="143"/>
          </reference>
        </references>
      </pivotArea>
    </chartFormat>
    <chartFormat chart="0" format="144" series="1">
      <pivotArea type="data" outline="0" fieldPosition="0">
        <references count="3">
          <reference field="4294967294" count="1" selected="0">
            <x v="0"/>
          </reference>
          <reference field="0" count="1" selected="0">
            <x v="4"/>
          </reference>
          <reference field="1" count="1" selected="0">
            <x v="144"/>
          </reference>
        </references>
      </pivotArea>
    </chartFormat>
    <chartFormat chart="0" format="145" series="1">
      <pivotArea type="data" outline="0" fieldPosition="0">
        <references count="3">
          <reference field="4294967294" count="1" selected="0">
            <x v="0"/>
          </reference>
          <reference field="0" count="1" selected="0">
            <x v="4"/>
          </reference>
          <reference field="1" count="1" selected="0">
            <x v="145"/>
          </reference>
        </references>
      </pivotArea>
    </chartFormat>
    <chartFormat chart="0" format="146" series="1">
      <pivotArea type="data" outline="0" fieldPosition="0">
        <references count="3">
          <reference field="4294967294" count="1" selected="0">
            <x v="0"/>
          </reference>
          <reference field="0" count="1" selected="0">
            <x v="4"/>
          </reference>
          <reference field="1" count="1" selected="0">
            <x v="146"/>
          </reference>
        </references>
      </pivotArea>
    </chartFormat>
    <chartFormat chart="0" format="147" series="1">
      <pivotArea type="data" outline="0" fieldPosition="0">
        <references count="3">
          <reference field="4294967294" count="1" selected="0">
            <x v="0"/>
          </reference>
          <reference field="0" count="1" selected="0">
            <x v="4"/>
          </reference>
          <reference field="1" count="1" selected="0">
            <x v="147"/>
          </reference>
        </references>
      </pivotArea>
    </chartFormat>
    <chartFormat chart="0" format="148" series="1">
      <pivotArea type="data" outline="0" fieldPosition="0">
        <references count="3">
          <reference field="4294967294" count="1" selected="0">
            <x v="0"/>
          </reference>
          <reference field="0" count="1" selected="0">
            <x v="4"/>
          </reference>
          <reference field="1" count="1" selected="0">
            <x v="148"/>
          </reference>
        </references>
      </pivotArea>
    </chartFormat>
    <chartFormat chart="0" format="149" series="1">
      <pivotArea type="data" outline="0" fieldPosition="0">
        <references count="3">
          <reference field="4294967294" count="1" selected="0">
            <x v="0"/>
          </reference>
          <reference field="0" count="1" selected="0">
            <x v="5"/>
          </reference>
          <reference field="1" count="1" selected="0">
            <x v="149"/>
          </reference>
        </references>
      </pivotArea>
    </chartFormat>
    <chartFormat chart="0" format="150" series="1">
      <pivotArea type="data" outline="0" fieldPosition="0">
        <references count="3">
          <reference field="4294967294" count="1" selected="0">
            <x v="0"/>
          </reference>
          <reference field="0" count="1" selected="0">
            <x v="5"/>
          </reference>
          <reference field="1" count="1" selected="0">
            <x v="150"/>
          </reference>
        </references>
      </pivotArea>
    </chartFormat>
    <chartFormat chart="0" format="151" series="1">
      <pivotArea type="data" outline="0" fieldPosition="0">
        <references count="3">
          <reference field="4294967294" count="1" selected="0">
            <x v="0"/>
          </reference>
          <reference field="0" count="1" selected="0">
            <x v="5"/>
          </reference>
          <reference field="1" count="1" selected="0">
            <x v="151"/>
          </reference>
        </references>
      </pivotArea>
    </chartFormat>
    <chartFormat chart="0" format="152" series="1">
      <pivotArea type="data" outline="0" fieldPosition="0">
        <references count="3">
          <reference field="4294967294" count="1" selected="0">
            <x v="0"/>
          </reference>
          <reference field="0" count="1" selected="0">
            <x v="5"/>
          </reference>
          <reference field="1" count="1" selected="0">
            <x v="152"/>
          </reference>
        </references>
      </pivotArea>
    </chartFormat>
    <chartFormat chart="0" format="153" series="1">
      <pivotArea type="data" outline="0" fieldPosition="0">
        <references count="3">
          <reference field="4294967294" count="1" selected="0">
            <x v="0"/>
          </reference>
          <reference field="0" count="1" selected="0">
            <x v="5"/>
          </reference>
          <reference field="1" count="1" selected="0">
            <x v="153"/>
          </reference>
        </references>
      </pivotArea>
    </chartFormat>
    <chartFormat chart="0" format="154" series="1">
      <pivotArea type="data" outline="0" fieldPosition="0">
        <references count="3">
          <reference field="4294967294" count="1" selected="0">
            <x v="0"/>
          </reference>
          <reference field="0" count="1" selected="0">
            <x v="5"/>
          </reference>
          <reference field="1" count="1" selected="0">
            <x v="154"/>
          </reference>
        </references>
      </pivotArea>
    </chartFormat>
    <chartFormat chart="0" format="155" series="1">
      <pivotArea type="data" outline="0" fieldPosition="0">
        <references count="3">
          <reference field="4294967294" count="1" selected="0">
            <x v="0"/>
          </reference>
          <reference field="0" count="1" selected="0">
            <x v="5"/>
          </reference>
          <reference field="1" count="1" selected="0">
            <x v="155"/>
          </reference>
        </references>
      </pivotArea>
    </chartFormat>
    <chartFormat chart="0" format="156" series="1">
      <pivotArea type="data" outline="0" fieldPosition="0">
        <references count="3">
          <reference field="4294967294" count="1" selected="0">
            <x v="0"/>
          </reference>
          <reference field="0" count="1" selected="0">
            <x v="5"/>
          </reference>
          <reference field="1" count="1" selected="0">
            <x v="156"/>
          </reference>
        </references>
      </pivotArea>
    </chartFormat>
    <chartFormat chart="0" format="157" series="1">
      <pivotArea type="data" outline="0" fieldPosition="0">
        <references count="3">
          <reference field="4294967294" count="1" selected="0">
            <x v="0"/>
          </reference>
          <reference field="0" count="1" selected="0">
            <x v="5"/>
          </reference>
          <reference field="1" count="1" selected="0">
            <x v="157"/>
          </reference>
        </references>
      </pivotArea>
    </chartFormat>
    <chartFormat chart="0" format="158" series="1">
      <pivotArea type="data" outline="0" fieldPosition="0">
        <references count="3">
          <reference field="4294967294" count="1" selected="0">
            <x v="0"/>
          </reference>
          <reference field="0" count="1" selected="0">
            <x v="5"/>
          </reference>
          <reference field="1" count="1" selected="0">
            <x v="158"/>
          </reference>
        </references>
      </pivotArea>
    </chartFormat>
    <chartFormat chart="0" format="159" series="1">
      <pivotArea type="data" outline="0" fieldPosition="0">
        <references count="3">
          <reference field="4294967294" count="1" selected="0">
            <x v="0"/>
          </reference>
          <reference field="0" count="1" selected="0">
            <x v="5"/>
          </reference>
          <reference field="1" count="1" selected="0">
            <x v="159"/>
          </reference>
        </references>
      </pivotArea>
    </chartFormat>
    <chartFormat chart="0" format="160" series="1">
      <pivotArea type="data" outline="0" fieldPosition="0">
        <references count="3">
          <reference field="4294967294" count="1" selected="0">
            <x v="0"/>
          </reference>
          <reference field="0" count="1" selected="0">
            <x v="5"/>
          </reference>
          <reference field="1" count="1" selected="0">
            <x v="160"/>
          </reference>
        </references>
      </pivotArea>
    </chartFormat>
    <chartFormat chart="0" format="161" series="1">
      <pivotArea type="data" outline="0" fieldPosition="0">
        <references count="3">
          <reference field="4294967294" count="1" selected="0">
            <x v="0"/>
          </reference>
          <reference field="0" count="1" selected="0">
            <x v="5"/>
          </reference>
          <reference field="1" count="1" selected="0">
            <x v="161"/>
          </reference>
        </references>
      </pivotArea>
    </chartFormat>
    <chartFormat chart="0" format="162" series="1">
      <pivotArea type="data" outline="0" fieldPosition="0">
        <references count="3">
          <reference field="4294967294" count="1" selected="0">
            <x v="0"/>
          </reference>
          <reference field="0" count="1" selected="0">
            <x v="5"/>
          </reference>
          <reference field="1" count="1" selected="0">
            <x v="162"/>
          </reference>
        </references>
      </pivotArea>
    </chartFormat>
    <chartFormat chart="0" format="163" series="1">
      <pivotArea type="data" outline="0" fieldPosition="0">
        <references count="3">
          <reference field="4294967294" count="1" selected="0">
            <x v="0"/>
          </reference>
          <reference field="0" count="1" selected="0">
            <x v="5"/>
          </reference>
          <reference field="1" count="1" selected="0">
            <x v="163"/>
          </reference>
        </references>
      </pivotArea>
    </chartFormat>
    <chartFormat chart="0" format="164" series="1">
      <pivotArea type="data" outline="0" fieldPosition="0">
        <references count="3">
          <reference field="4294967294" count="1" selected="0">
            <x v="0"/>
          </reference>
          <reference field="0" count="1" selected="0">
            <x v="5"/>
          </reference>
          <reference field="1" count="1" selected="0">
            <x v="164"/>
          </reference>
        </references>
      </pivotArea>
    </chartFormat>
    <chartFormat chart="0" format="165" series="1">
      <pivotArea type="data" outline="0" fieldPosition="0">
        <references count="3">
          <reference field="4294967294" count="1" selected="0">
            <x v="0"/>
          </reference>
          <reference field="0" count="1" selected="0">
            <x v="5"/>
          </reference>
          <reference field="1" count="1" selected="0">
            <x v="165"/>
          </reference>
        </references>
      </pivotArea>
    </chartFormat>
    <chartFormat chart="0" format="166" series="1">
      <pivotArea type="data" outline="0" fieldPosition="0">
        <references count="3">
          <reference field="4294967294" count="1" selected="0">
            <x v="0"/>
          </reference>
          <reference field="0" count="1" selected="0">
            <x v="5"/>
          </reference>
          <reference field="1" count="1" selected="0">
            <x v="166"/>
          </reference>
        </references>
      </pivotArea>
    </chartFormat>
    <chartFormat chart="0" format="167" series="1">
      <pivotArea type="data" outline="0" fieldPosition="0">
        <references count="3">
          <reference field="4294967294" count="1" selected="0">
            <x v="0"/>
          </reference>
          <reference field="0" count="1" selected="0">
            <x v="5"/>
          </reference>
          <reference field="1" count="1" selected="0">
            <x v="167"/>
          </reference>
        </references>
      </pivotArea>
    </chartFormat>
    <chartFormat chart="0" format="168" series="1">
      <pivotArea type="data" outline="0" fieldPosition="0">
        <references count="3">
          <reference field="4294967294" count="1" selected="0">
            <x v="0"/>
          </reference>
          <reference field="0" count="1" selected="0">
            <x v="5"/>
          </reference>
          <reference field="1" count="1" selected="0">
            <x v="168"/>
          </reference>
        </references>
      </pivotArea>
    </chartFormat>
    <chartFormat chart="0" format="169" series="1">
      <pivotArea type="data" outline="0" fieldPosition="0">
        <references count="3">
          <reference field="4294967294" count="1" selected="0">
            <x v="0"/>
          </reference>
          <reference field="0" count="1" selected="0">
            <x v="5"/>
          </reference>
          <reference field="1" count="1" selected="0">
            <x v="169"/>
          </reference>
        </references>
      </pivotArea>
    </chartFormat>
    <chartFormat chart="0" format="170" series="1">
      <pivotArea type="data" outline="0" fieldPosition="0">
        <references count="3">
          <reference field="4294967294" count="1" selected="0">
            <x v="0"/>
          </reference>
          <reference field="0" count="1" selected="0">
            <x v="5"/>
          </reference>
          <reference field="1" count="1" selected="0">
            <x v="170"/>
          </reference>
        </references>
      </pivotArea>
    </chartFormat>
    <chartFormat chart="0" format="171" series="1">
      <pivotArea type="data" outline="0" fieldPosition="0">
        <references count="3">
          <reference field="4294967294" count="1" selected="0">
            <x v="0"/>
          </reference>
          <reference field="0" count="1" selected="0">
            <x v="5"/>
          </reference>
          <reference field="1" count="1" selected="0">
            <x v="171"/>
          </reference>
        </references>
      </pivotArea>
    </chartFormat>
    <chartFormat chart="0" format="172" series="1">
      <pivotArea type="data" outline="0" fieldPosition="0">
        <references count="3">
          <reference field="4294967294" count="1" selected="0">
            <x v="0"/>
          </reference>
          <reference field="0" count="1" selected="0">
            <x v="5"/>
          </reference>
          <reference field="1" count="1" selected="0">
            <x v="172"/>
          </reference>
        </references>
      </pivotArea>
    </chartFormat>
    <chartFormat chart="0" format="173" series="1">
      <pivotArea type="data" outline="0" fieldPosition="0">
        <references count="3">
          <reference field="4294967294" count="1" selected="0">
            <x v="0"/>
          </reference>
          <reference field="0" count="1" selected="0">
            <x v="5"/>
          </reference>
          <reference field="1" count="1" selected="0">
            <x v="173"/>
          </reference>
        </references>
      </pivotArea>
    </chartFormat>
    <chartFormat chart="0" format="174" series="1">
      <pivotArea type="data" outline="0" fieldPosition="0">
        <references count="3">
          <reference field="4294967294" count="1" selected="0">
            <x v="0"/>
          </reference>
          <reference field="0" count="1" selected="0">
            <x v="5"/>
          </reference>
          <reference field="1" count="1" selected="0">
            <x v="174"/>
          </reference>
        </references>
      </pivotArea>
    </chartFormat>
    <chartFormat chart="0" format="175" series="1">
      <pivotArea type="data" outline="0" fieldPosition="0">
        <references count="3">
          <reference field="4294967294" count="1" selected="0">
            <x v="0"/>
          </reference>
          <reference field="0" count="1" selected="0">
            <x v="5"/>
          </reference>
          <reference field="1" count="1" selected="0">
            <x v="175"/>
          </reference>
        </references>
      </pivotArea>
    </chartFormat>
    <chartFormat chart="0" format="176" series="1">
      <pivotArea type="data" outline="0" fieldPosition="0">
        <references count="3">
          <reference field="4294967294" count="1" selected="0">
            <x v="0"/>
          </reference>
          <reference field="0" count="1" selected="0">
            <x v="5"/>
          </reference>
          <reference field="1" count="1" selected="0">
            <x v="176"/>
          </reference>
        </references>
      </pivotArea>
    </chartFormat>
    <chartFormat chart="0" format="177" series="1">
      <pivotArea type="data" outline="0" fieldPosition="0">
        <references count="3">
          <reference field="4294967294" count="1" selected="0">
            <x v="0"/>
          </reference>
          <reference field="0" count="1" selected="0">
            <x v="5"/>
          </reference>
          <reference field="1" count="1" selected="0">
            <x v="177"/>
          </reference>
        </references>
      </pivotArea>
    </chartFormat>
    <chartFormat chart="0" format="178" series="1">
      <pivotArea type="data" outline="0" fieldPosition="0">
        <references count="3">
          <reference field="4294967294" count="1" selected="0">
            <x v="0"/>
          </reference>
          <reference field="0" count="1" selected="0">
            <x v="5"/>
          </reference>
          <reference field="1" count="1" selected="0">
            <x v="178"/>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30"/>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B04B34-207F-4295-AAE2-BDAEDD14EB76}" name="Distribution_TopSellingCities" cacheId="11"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29:CL32"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242">
      <pivotArea outline="0" collapsedLevelsAreSubtotals="1" fieldPosition="0">
        <references count="1">
          <reference field="4294967294" count="1" selected="0">
            <x v="0"/>
          </reference>
        </references>
      </pivotArea>
    </format>
    <format dxfId="241">
      <pivotArea dataOnly="0" labelOnly="1" outline="0" fieldPosition="0">
        <references count="1">
          <reference field="4294967294" count="1">
            <x v="0"/>
          </reference>
        </references>
      </pivotArea>
    </format>
    <format dxfId="240">
      <pivotArea type="all" dataOnly="0" outline="0" fieldPosition="0"/>
    </format>
    <format dxfId="239">
      <pivotArea outline="0" collapsedLevelsAreSubtotals="1" fieldPosition="0"/>
    </format>
    <format dxfId="238">
      <pivotArea field="0" type="button" dataOnly="0" labelOnly="1" outline="0" axis="axisRow" fieldPosition="0"/>
    </format>
    <format dxfId="237">
      <pivotArea dataOnly="0" labelOnly="1" fieldPosition="0">
        <references count="1">
          <reference field="0" count="0"/>
        </references>
      </pivotArea>
    </format>
    <format dxfId="236">
      <pivotArea dataOnly="0" labelOnly="1" outline="0" fieldPosition="0">
        <references count="1">
          <reference field="4294967294" count="2">
            <x v="0"/>
            <x v="1"/>
          </reference>
        </references>
      </pivotArea>
    </format>
    <format dxfId="235">
      <pivotArea type="all" dataOnly="0" outline="0" fieldPosition="0"/>
    </format>
    <format dxfId="234">
      <pivotArea outline="0" collapsedLevelsAreSubtotals="1" fieldPosition="0"/>
    </format>
    <format dxfId="233">
      <pivotArea field="0" type="button" dataOnly="0" labelOnly="1" outline="0" axis="axisRow" fieldPosition="0"/>
    </format>
    <format dxfId="232">
      <pivotArea dataOnly="0" labelOnly="1" fieldPosition="0">
        <references count="1">
          <reference field="0" count="0"/>
        </references>
      </pivotArea>
    </format>
    <format dxfId="231">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B89E43-CC14-40A3-B3F6-70BD4F1B4A8E}" name="SalesMap_RegionalBars+Matrix" cacheId="19" applyNumberFormats="0" applyBorderFormats="0" applyFontFormats="0" applyPatternFormats="0" applyAlignmentFormats="0" applyWidthHeightFormats="1" dataCaption="Values" tag="aeb17f03-33b3-4867-967a-2a6de321512f" updatedVersion="8" minRefreshableVersion="3" subtotalHiddenItems="1" itemPrintTitles="1" createdVersion="8" indent="0" compact="0" compactData="0" gridDropZones="1" multipleFieldFilters="0" chartFormat="13">
  <location ref="AD5:AJ19" firstHeaderRow="1" firstDataRow="2" firstDataCol="2"/>
  <pivotFields count="7">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4"/>
    <field x="0"/>
  </rowFields>
  <rowItems count="13">
    <i>
      <x/>
      <x/>
    </i>
    <i r="1">
      <x v="1"/>
    </i>
    <i r="1">
      <x v="2"/>
    </i>
    <i>
      <x v="1"/>
      <x/>
    </i>
    <i r="1">
      <x v="1"/>
    </i>
    <i r="1">
      <x v="2"/>
    </i>
    <i>
      <x v="2"/>
      <x/>
    </i>
    <i r="1">
      <x v="1"/>
    </i>
    <i r="1">
      <x v="2"/>
    </i>
    <i>
      <x v="3"/>
      <x/>
    </i>
    <i r="1">
      <x v="1"/>
    </i>
    <i r="1">
      <x v="2"/>
    </i>
    <i t="grand">
      <x/>
    </i>
  </rowItems>
  <colFields count="1">
    <field x="-2"/>
  </colFields>
  <colItems count="5">
    <i>
      <x/>
    </i>
    <i i="1">
      <x v="1"/>
    </i>
    <i i="2">
      <x v="2"/>
    </i>
    <i i="3">
      <x v="3"/>
    </i>
    <i i="4">
      <x v="4"/>
    </i>
  </colItems>
  <dataFields count="5">
    <dataField name="Cumulative cost" fld="2" baseField="0" baseItem="0"/>
    <dataField name="Shipping Cost" fld="3" baseField="0" baseItem="0"/>
    <dataField name="Discount" fld="5" baseField="0" baseItem="0"/>
    <dataField name="Profit" fld="1" baseField="0" baseItem="0"/>
    <dataField name="Sales" fld="6" baseField="0" baseItem="0"/>
  </dataFields>
  <formats count="152">
    <format dxfId="394">
      <pivotArea type="all" dataOnly="0" outline="0" fieldPosition="0"/>
    </format>
    <format dxfId="393">
      <pivotArea outline="0" collapsedLevelsAreSubtotals="1" fieldPosition="0"/>
    </format>
    <format dxfId="392">
      <pivotArea dataOnly="0" labelOnly="1" grandRow="1" outline="0" fieldPosition="0"/>
    </format>
    <format dxfId="391">
      <pivotArea dataOnly="0" labelOnly="1" outline="0" fieldPosition="0">
        <references count="1">
          <reference field="4294967294" count="3">
            <x v="0"/>
            <x v="1"/>
            <x v="3"/>
          </reference>
        </references>
      </pivotArea>
    </format>
    <format dxfId="390">
      <pivotArea type="all" dataOnly="0" outline="0" fieldPosition="0"/>
    </format>
    <format dxfId="389">
      <pivotArea outline="0" collapsedLevelsAreSubtotals="1" fieldPosition="0"/>
    </format>
    <format dxfId="388">
      <pivotArea dataOnly="0" labelOnly="1" grandRow="1" outline="0" fieldPosition="0"/>
    </format>
    <format dxfId="387">
      <pivotArea dataOnly="0" labelOnly="1" outline="0" fieldPosition="0">
        <references count="1">
          <reference field="4294967294" count="3">
            <x v="0"/>
            <x v="1"/>
            <x v="3"/>
          </reference>
        </references>
      </pivotArea>
    </format>
    <format dxfId="386">
      <pivotArea type="all" dataOnly="0" outline="0" fieldPosition="0"/>
    </format>
    <format dxfId="385">
      <pivotArea outline="0" collapsedLevelsAreSubtotals="1" fieldPosition="0"/>
    </format>
    <format dxfId="384">
      <pivotArea type="origin" dataOnly="0" labelOnly="1" outline="0" fieldPosition="0"/>
    </format>
    <format dxfId="383">
      <pivotArea field="-2" type="button" dataOnly="0" labelOnly="1" outline="0" axis="axisCol" fieldPosition="0"/>
    </format>
    <format dxfId="382">
      <pivotArea type="topRight" dataOnly="0" labelOnly="1" outline="0" fieldPosition="0"/>
    </format>
    <format dxfId="381">
      <pivotArea field="4" type="button" dataOnly="0" labelOnly="1" outline="0" axis="axisRow" fieldPosition="0"/>
    </format>
    <format dxfId="380">
      <pivotArea field="0" type="button" dataOnly="0" labelOnly="1" outline="0" axis="axisRow" fieldPosition="1"/>
    </format>
    <format dxfId="379">
      <pivotArea dataOnly="0" labelOnly="1" outline="0" fieldPosition="0">
        <references count="1">
          <reference field="4" count="0"/>
        </references>
      </pivotArea>
    </format>
    <format dxfId="378">
      <pivotArea dataOnly="0" labelOnly="1" grandRow="1" outline="0" fieldPosition="0"/>
    </format>
    <format dxfId="377">
      <pivotArea dataOnly="0" labelOnly="1" outline="0" fieldPosition="0">
        <references count="2">
          <reference field="0" count="0"/>
          <reference field="4" count="1" selected="0">
            <x v="0"/>
          </reference>
        </references>
      </pivotArea>
    </format>
    <format dxfId="376">
      <pivotArea dataOnly="0" labelOnly="1" outline="0" fieldPosition="0">
        <references count="2">
          <reference field="0" count="0"/>
          <reference field="4" count="1" selected="0">
            <x v="1"/>
          </reference>
        </references>
      </pivotArea>
    </format>
    <format dxfId="375">
      <pivotArea dataOnly="0" labelOnly="1" outline="0" fieldPosition="0">
        <references count="2">
          <reference field="0" count="0"/>
          <reference field="4" count="1" selected="0">
            <x v="2"/>
          </reference>
        </references>
      </pivotArea>
    </format>
    <format dxfId="374">
      <pivotArea dataOnly="0" labelOnly="1" outline="0" fieldPosition="0">
        <references count="2">
          <reference field="0" count="0"/>
          <reference field="4" count="1" selected="0">
            <x v="3"/>
          </reference>
        </references>
      </pivotArea>
    </format>
    <format dxfId="373">
      <pivotArea dataOnly="0" labelOnly="1" outline="0" fieldPosition="0">
        <references count="1">
          <reference field="4294967294" count="3">
            <x v="0"/>
            <x v="1"/>
            <x v="3"/>
          </reference>
        </references>
      </pivotArea>
    </format>
    <format dxfId="372">
      <pivotArea type="all" dataOnly="0" outline="0" fieldPosition="0"/>
    </format>
    <format dxfId="371">
      <pivotArea outline="0" collapsedLevelsAreSubtotals="1" fieldPosition="0"/>
    </format>
    <format dxfId="370">
      <pivotArea type="origin" dataOnly="0" labelOnly="1" outline="0" fieldPosition="0"/>
    </format>
    <format dxfId="369">
      <pivotArea field="-2" type="button" dataOnly="0" labelOnly="1" outline="0" axis="axisCol" fieldPosition="0"/>
    </format>
    <format dxfId="368">
      <pivotArea type="topRight" dataOnly="0" labelOnly="1" outline="0" fieldPosition="0"/>
    </format>
    <format dxfId="367">
      <pivotArea field="4" type="button" dataOnly="0" labelOnly="1" outline="0" axis="axisRow" fieldPosition="0"/>
    </format>
    <format dxfId="366">
      <pivotArea field="0" type="button" dataOnly="0" labelOnly="1" outline="0" axis="axisRow" fieldPosition="1"/>
    </format>
    <format dxfId="365">
      <pivotArea dataOnly="0" labelOnly="1" outline="0" fieldPosition="0">
        <references count="1">
          <reference field="4" count="0"/>
        </references>
      </pivotArea>
    </format>
    <format dxfId="364">
      <pivotArea dataOnly="0" labelOnly="1" grandRow="1" outline="0" fieldPosition="0"/>
    </format>
    <format dxfId="363">
      <pivotArea dataOnly="0" labelOnly="1" outline="0" fieldPosition="0">
        <references count="2">
          <reference field="0" count="0"/>
          <reference field="4" count="1" selected="0">
            <x v="0"/>
          </reference>
        </references>
      </pivotArea>
    </format>
    <format dxfId="362">
      <pivotArea dataOnly="0" labelOnly="1" outline="0" fieldPosition="0">
        <references count="2">
          <reference field="0" count="0"/>
          <reference field="4" count="1" selected="0">
            <x v="1"/>
          </reference>
        </references>
      </pivotArea>
    </format>
    <format dxfId="361">
      <pivotArea dataOnly="0" labelOnly="1" outline="0" fieldPosition="0">
        <references count="2">
          <reference field="0" count="0"/>
          <reference field="4" count="1" selected="0">
            <x v="2"/>
          </reference>
        </references>
      </pivotArea>
    </format>
    <format dxfId="360">
      <pivotArea dataOnly="0" labelOnly="1" outline="0" fieldPosition="0">
        <references count="2">
          <reference field="0" count="0"/>
          <reference field="4" count="1" selected="0">
            <x v="3"/>
          </reference>
        </references>
      </pivotArea>
    </format>
    <format dxfId="359">
      <pivotArea dataOnly="0" labelOnly="1" outline="0" fieldPosition="0">
        <references count="1">
          <reference field="4294967294" count="3">
            <x v="0"/>
            <x v="1"/>
            <x v="3"/>
          </reference>
        </references>
      </pivotArea>
    </format>
    <format dxfId="358">
      <pivotArea type="origin" dataOnly="0" labelOnly="1" outline="0" fieldPosition="0"/>
    </format>
    <format dxfId="357">
      <pivotArea field="4" type="button" dataOnly="0" labelOnly="1" outline="0" axis="axisRow" fieldPosition="0"/>
    </format>
    <format dxfId="356">
      <pivotArea dataOnly="0" labelOnly="1" outline="0" fieldPosition="0">
        <references count="1">
          <reference field="4" count="0"/>
        </references>
      </pivotArea>
    </format>
    <format dxfId="355">
      <pivotArea dataOnly="0" labelOnly="1" grandRow="1" outline="0" fieldPosition="0"/>
    </format>
    <format dxfId="354">
      <pivotArea type="all" dataOnly="0" outline="0" fieldPosition="0"/>
    </format>
    <format dxfId="353">
      <pivotArea outline="0" collapsedLevelsAreSubtotals="1" fieldPosition="0"/>
    </format>
    <format dxfId="352">
      <pivotArea type="origin" dataOnly="0" labelOnly="1" outline="0" fieldPosition="0"/>
    </format>
    <format dxfId="351">
      <pivotArea field="-2" type="button" dataOnly="0" labelOnly="1" outline="0" axis="axisCol" fieldPosition="0"/>
    </format>
    <format dxfId="350">
      <pivotArea type="topRight" dataOnly="0" labelOnly="1" outline="0" fieldPosition="0"/>
    </format>
    <format dxfId="349">
      <pivotArea field="4" type="button" dataOnly="0" labelOnly="1" outline="0" axis="axisRow" fieldPosition="0"/>
    </format>
    <format dxfId="348">
      <pivotArea field="0" type="button" dataOnly="0" labelOnly="1" outline="0" axis="axisRow" fieldPosition="1"/>
    </format>
    <format dxfId="347">
      <pivotArea dataOnly="0" labelOnly="1" outline="0" fieldPosition="0">
        <references count="1">
          <reference field="4" count="0"/>
        </references>
      </pivotArea>
    </format>
    <format dxfId="346">
      <pivotArea dataOnly="0" labelOnly="1" grandRow="1" outline="0" fieldPosition="0"/>
    </format>
    <format dxfId="345">
      <pivotArea dataOnly="0" labelOnly="1" outline="0" fieldPosition="0">
        <references count="2">
          <reference field="0" count="0"/>
          <reference field="4" count="1" selected="0">
            <x v="0"/>
          </reference>
        </references>
      </pivotArea>
    </format>
    <format dxfId="344">
      <pivotArea dataOnly="0" labelOnly="1" outline="0" fieldPosition="0">
        <references count="2">
          <reference field="0" count="0"/>
          <reference field="4" count="1" selected="0">
            <x v="1"/>
          </reference>
        </references>
      </pivotArea>
    </format>
    <format dxfId="343">
      <pivotArea dataOnly="0" labelOnly="1" outline="0" fieldPosition="0">
        <references count="2">
          <reference field="0" count="0"/>
          <reference field="4" count="1" selected="0">
            <x v="2"/>
          </reference>
        </references>
      </pivotArea>
    </format>
    <format dxfId="342">
      <pivotArea dataOnly="0" labelOnly="1" outline="0" fieldPosition="0">
        <references count="2">
          <reference field="0" count="0"/>
          <reference field="4" count="1" selected="0">
            <x v="3"/>
          </reference>
        </references>
      </pivotArea>
    </format>
    <format dxfId="341">
      <pivotArea dataOnly="0" labelOnly="1" outline="0" fieldPosition="0">
        <references count="1">
          <reference field="4294967294" count="5">
            <x v="0"/>
            <x v="1"/>
            <x v="2"/>
            <x v="3"/>
            <x v="4"/>
          </reference>
        </references>
      </pivotArea>
    </format>
    <format dxfId="340">
      <pivotArea type="all" dataOnly="0" outline="0" fieldPosition="0"/>
    </format>
    <format dxfId="339">
      <pivotArea outline="0" collapsedLevelsAreSubtotals="1" fieldPosition="0"/>
    </format>
    <format dxfId="338">
      <pivotArea type="origin" dataOnly="0" labelOnly="1" outline="0" fieldPosition="0"/>
    </format>
    <format dxfId="337">
      <pivotArea field="-2" type="button" dataOnly="0" labelOnly="1" outline="0" axis="axisCol" fieldPosition="0"/>
    </format>
    <format dxfId="336">
      <pivotArea type="topRight" dataOnly="0" labelOnly="1" outline="0" fieldPosition="0"/>
    </format>
    <format dxfId="335">
      <pivotArea field="4" type="button" dataOnly="0" labelOnly="1" outline="0" axis="axisRow" fieldPosition="0"/>
    </format>
    <format dxfId="334">
      <pivotArea field="0" type="button" dataOnly="0" labelOnly="1" outline="0" axis="axisRow" fieldPosition="1"/>
    </format>
    <format dxfId="333">
      <pivotArea dataOnly="0" labelOnly="1" outline="0" fieldPosition="0">
        <references count="1">
          <reference field="4" count="0"/>
        </references>
      </pivotArea>
    </format>
    <format dxfId="332">
      <pivotArea dataOnly="0" labelOnly="1" grandRow="1" outline="0" fieldPosition="0"/>
    </format>
    <format dxfId="331">
      <pivotArea dataOnly="0" labelOnly="1" outline="0" fieldPosition="0">
        <references count="2">
          <reference field="0" count="0"/>
          <reference field="4" count="1" selected="0">
            <x v="0"/>
          </reference>
        </references>
      </pivotArea>
    </format>
    <format dxfId="330">
      <pivotArea dataOnly="0" labelOnly="1" outline="0" fieldPosition="0">
        <references count="2">
          <reference field="0" count="0"/>
          <reference field="4" count="1" selected="0">
            <x v="1"/>
          </reference>
        </references>
      </pivotArea>
    </format>
    <format dxfId="329">
      <pivotArea dataOnly="0" labelOnly="1" outline="0" fieldPosition="0">
        <references count="2">
          <reference field="0" count="0"/>
          <reference field="4" count="1" selected="0">
            <x v="2"/>
          </reference>
        </references>
      </pivotArea>
    </format>
    <format dxfId="328">
      <pivotArea dataOnly="0" labelOnly="1" outline="0" fieldPosition="0">
        <references count="2">
          <reference field="0" count="0"/>
          <reference field="4" count="1" selected="0">
            <x v="3"/>
          </reference>
        </references>
      </pivotArea>
    </format>
    <format dxfId="327">
      <pivotArea dataOnly="0" labelOnly="1" outline="0" fieldPosition="0">
        <references count="1">
          <reference field="4294967294" count="5">
            <x v="0"/>
            <x v="1"/>
            <x v="2"/>
            <x v="3"/>
            <x v="4"/>
          </reference>
        </references>
      </pivotArea>
    </format>
    <format dxfId="326">
      <pivotArea type="all" dataOnly="0" outline="0" fieldPosition="0"/>
    </format>
    <format dxfId="325">
      <pivotArea outline="0" collapsedLevelsAreSubtotals="1" fieldPosition="0"/>
    </format>
    <format dxfId="324">
      <pivotArea type="origin" dataOnly="0" labelOnly="1" outline="0" fieldPosition="0"/>
    </format>
    <format dxfId="323">
      <pivotArea field="-2" type="button" dataOnly="0" labelOnly="1" outline="0" axis="axisCol" fieldPosition="0"/>
    </format>
    <format dxfId="322">
      <pivotArea type="topRight" dataOnly="0" labelOnly="1" outline="0" fieldPosition="0"/>
    </format>
    <format dxfId="321">
      <pivotArea field="4" type="button" dataOnly="0" labelOnly="1" outline="0" axis="axisRow" fieldPosition="0"/>
    </format>
    <format dxfId="320">
      <pivotArea field="0" type="button" dataOnly="0" labelOnly="1" outline="0" axis="axisRow" fieldPosition="1"/>
    </format>
    <format dxfId="319">
      <pivotArea dataOnly="0" labelOnly="1" outline="0" fieldPosition="0">
        <references count="1">
          <reference field="4" count="0"/>
        </references>
      </pivotArea>
    </format>
    <format dxfId="318">
      <pivotArea dataOnly="0" labelOnly="1" grandRow="1" outline="0" fieldPosition="0"/>
    </format>
    <format dxfId="317">
      <pivotArea dataOnly="0" labelOnly="1" outline="0" fieldPosition="0">
        <references count="2">
          <reference field="0" count="0"/>
          <reference field="4" count="1" selected="0">
            <x v="0"/>
          </reference>
        </references>
      </pivotArea>
    </format>
    <format dxfId="316">
      <pivotArea dataOnly="0" labelOnly="1" outline="0" fieldPosition="0">
        <references count="2">
          <reference field="0" count="0"/>
          <reference field="4" count="1" selected="0">
            <x v="1"/>
          </reference>
        </references>
      </pivotArea>
    </format>
    <format dxfId="315">
      <pivotArea dataOnly="0" labelOnly="1" outline="0" fieldPosition="0">
        <references count="2">
          <reference field="0" count="0"/>
          <reference field="4" count="1" selected="0">
            <x v="2"/>
          </reference>
        </references>
      </pivotArea>
    </format>
    <format dxfId="314">
      <pivotArea dataOnly="0" labelOnly="1" outline="0" fieldPosition="0">
        <references count="2">
          <reference field="0" count="0"/>
          <reference field="4" count="1" selected="0">
            <x v="3"/>
          </reference>
        </references>
      </pivotArea>
    </format>
    <format dxfId="313">
      <pivotArea dataOnly="0" labelOnly="1" outline="0" fieldPosition="0">
        <references count="1">
          <reference field="4294967294" count="5">
            <x v="0"/>
            <x v="1"/>
            <x v="2"/>
            <x v="3"/>
            <x v="4"/>
          </reference>
        </references>
      </pivotArea>
    </format>
    <format dxfId="312">
      <pivotArea type="all" dataOnly="0" outline="0" fieldPosition="0"/>
    </format>
    <format dxfId="311">
      <pivotArea outline="0" collapsedLevelsAreSubtotals="1" fieldPosition="0"/>
    </format>
    <format dxfId="310">
      <pivotArea type="origin" dataOnly="0" labelOnly="1" outline="0" fieldPosition="0"/>
    </format>
    <format dxfId="309">
      <pivotArea field="-2" type="button" dataOnly="0" labelOnly="1" outline="0" axis="axisCol" fieldPosition="0"/>
    </format>
    <format dxfId="308">
      <pivotArea type="topRight" dataOnly="0" labelOnly="1" outline="0" fieldPosition="0"/>
    </format>
    <format dxfId="307">
      <pivotArea field="4" type="button" dataOnly="0" labelOnly="1" outline="0" axis="axisRow" fieldPosition="0"/>
    </format>
    <format dxfId="306">
      <pivotArea field="0" type="button" dataOnly="0" labelOnly="1" outline="0" axis="axisRow" fieldPosition="1"/>
    </format>
    <format dxfId="305">
      <pivotArea dataOnly="0" labelOnly="1" outline="0" fieldPosition="0">
        <references count="1">
          <reference field="4" count="0"/>
        </references>
      </pivotArea>
    </format>
    <format dxfId="304">
      <pivotArea dataOnly="0" labelOnly="1" grandRow="1" outline="0" fieldPosition="0"/>
    </format>
    <format dxfId="303">
      <pivotArea dataOnly="0" labelOnly="1" outline="0" fieldPosition="0">
        <references count="2">
          <reference field="0" count="0"/>
          <reference field="4" count="1" selected="0">
            <x v="0"/>
          </reference>
        </references>
      </pivotArea>
    </format>
    <format dxfId="302">
      <pivotArea dataOnly="0" labelOnly="1" outline="0" fieldPosition="0">
        <references count="2">
          <reference field="0" count="0"/>
          <reference field="4" count="1" selected="0">
            <x v="1"/>
          </reference>
        </references>
      </pivotArea>
    </format>
    <format dxfId="301">
      <pivotArea dataOnly="0" labelOnly="1" outline="0" fieldPosition="0">
        <references count="2">
          <reference field="0" count="0"/>
          <reference field="4" count="1" selected="0">
            <x v="2"/>
          </reference>
        </references>
      </pivotArea>
    </format>
    <format dxfId="300">
      <pivotArea dataOnly="0" labelOnly="1" outline="0" fieldPosition="0">
        <references count="2">
          <reference field="0" count="0"/>
          <reference field="4" count="1" selected="0">
            <x v="3"/>
          </reference>
        </references>
      </pivotArea>
    </format>
    <format dxfId="299">
      <pivotArea dataOnly="0" labelOnly="1" outline="0" fieldPosition="0">
        <references count="1">
          <reference field="4294967294" count="5">
            <x v="0"/>
            <x v="1"/>
            <x v="2"/>
            <x v="3"/>
            <x v="4"/>
          </reference>
        </references>
      </pivotArea>
    </format>
    <format dxfId="298">
      <pivotArea type="all" dataOnly="0" outline="0" fieldPosition="0"/>
    </format>
    <format dxfId="297">
      <pivotArea outline="0" collapsedLevelsAreSubtotals="1" fieldPosition="0"/>
    </format>
    <format dxfId="296">
      <pivotArea type="origin" dataOnly="0" labelOnly="1" outline="0" fieldPosition="0"/>
    </format>
    <format dxfId="295">
      <pivotArea field="-2" type="button" dataOnly="0" labelOnly="1" outline="0" axis="axisCol" fieldPosition="0"/>
    </format>
    <format dxfId="294">
      <pivotArea type="topRight" dataOnly="0" labelOnly="1" outline="0" fieldPosition="0"/>
    </format>
    <format dxfId="293">
      <pivotArea field="4" type="button" dataOnly="0" labelOnly="1" outline="0" axis="axisRow" fieldPosition="0"/>
    </format>
    <format dxfId="292">
      <pivotArea field="0" type="button" dataOnly="0" labelOnly="1" outline="0" axis="axisRow" fieldPosition="1"/>
    </format>
    <format dxfId="291">
      <pivotArea dataOnly="0" labelOnly="1" outline="0" fieldPosition="0">
        <references count="1">
          <reference field="4" count="0"/>
        </references>
      </pivotArea>
    </format>
    <format dxfId="290">
      <pivotArea dataOnly="0" labelOnly="1" grandRow="1" outline="0" fieldPosition="0"/>
    </format>
    <format dxfId="289">
      <pivotArea dataOnly="0" labelOnly="1" outline="0" fieldPosition="0">
        <references count="2">
          <reference field="0" count="0"/>
          <reference field="4" count="1" selected="0">
            <x v="0"/>
          </reference>
        </references>
      </pivotArea>
    </format>
    <format dxfId="288">
      <pivotArea dataOnly="0" labelOnly="1" outline="0" fieldPosition="0">
        <references count="2">
          <reference field="0" count="0"/>
          <reference field="4" count="1" selected="0">
            <x v="1"/>
          </reference>
        </references>
      </pivotArea>
    </format>
    <format dxfId="287">
      <pivotArea dataOnly="0" labelOnly="1" outline="0" fieldPosition="0">
        <references count="2">
          <reference field="0" count="0"/>
          <reference field="4" count="1" selected="0">
            <x v="2"/>
          </reference>
        </references>
      </pivotArea>
    </format>
    <format dxfId="286">
      <pivotArea dataOnly="0" labelOnly="1" outline="0" fieldPosition="0">
        <references count="2">
          <reference field="0" count="0"/>
          <reference field="4" count="1" selected="0">
            <x v="3"/>
          </reference>
        </references>
      </pivotArea>
    </format>
    <format dxfId="285">
      <pivotArea dataOnly="0" labelOnly="1" outline="0" fieldPosition="0">
        <references count="1">
          <reference field="4294967294" count="5">
            <x v="0"/>
            <x v="1"/>
            <x v="2"/>
            <x v="3"/>
            <x v="4"/>
          </reference>
        </references>
      </pivotArea>
    </format>
    <format dxfId="284">
      <pivotArea type="all" dataOnly="0" outline="0" fieldPosition="0"/>
    </format>
    <format dxfId="283">
      <pivotArea outline="0" collapsedLevelsAreSubtotals="1" fieldPosition="0"/>
    </format>
    <format dxfId="282">
      <pivotArea type="origin" dataOnly="0" labelOnly="1" outline="0" fieldPosition="0"/>
    </format>
    <format dxfId="281">
      <pivotArea field="-2" type="button" dataOnly="0" labelOnly="1" outline="0" axis="axisCol" fieldPosition="0"/>
    </format>
    <format dxfId="280">
      <pivotArea type="topRight" dataOnly="0" labelOnly="1" outline="0" fieldPosition="0"/>
    </format>
    <format dxfId="279">
      <pivotArea field="4" type="button" dataOnly="0" labelOnly="1" outline="0" axis="axisRow" fieldPosition="0"/>
    </format>
    <format dxfId="278">
      <pivotArea field="0" type="button" dataOnly="0" labelOnly="1" outline="0" axis="axisRow" fieldPosition="1"/>
    </format>
    <format dxfId="277">
      <pivotArea dataOnly="0" labelOnly="1" outline="0" fieldPosition="0">
        <references count="1">
          <reference field="4" count="0"/>
        </references>
      </pivotArea>
    </format>
    <format dxfId="276">
      <pivotArea dataOnly="0" labelOnly="1" grandRow="1" outline="0" fieldPosition="0"/>
    </format>
    <format dxfId="275">
      <pivotArea dataOnly="0" labelOnly="1" outline="0" fieldPosition="0">
        <references count="2">
          <reference field="0" count="0"/>
          <reference field="4" count="1" selected="0">
            <x v="0"/>
          </reference>
        </references>
      </pivotArea>
    </format>
    <format dxfId="274">
      <pivotArea dataOnly="0" labelOnly="1" outline="0" fieldPosition="0">
        <references count="2">
          <reference field="0" count="0"/>
          <reference field="4" count="1" selected="0">
            <x v="1"/>
          </reference>
        </references>
      </pivotArea>
    </format>
    <format dxfId="273">
      <pivotArea dataOnly="0" labelOnly="1" outline="0" fieldPosition="0">
        <references count="2">
          <reference field="0" count="0"/>
          <reference field="4" count="1" selected="0">
            <x v="2"/>
          </reference>
        </references>
      </pivotArea>
    </format>
    <format dxfId="272">
      <pivotArea dataOnly="0" labelOnly="1" outline="0" fieldPosition="0">
        <references count="2">
          <reference field="0" count="0"/>
          <reference field="4" count="1" selected="0">
            <x v="3"/>
          </reference>
        </references>
      </pivotArea>
    </format>
    <format dxfId="271">
      <pivotArea dataOnly="0" labelOnly="1" outline="0" fieldPosition="0">
        <references count="1">
          <reference field="4294967294" count="5">
            <x v="0"/>
            <x v="1"/>
            <x v="2"/>
            <x v="3"/>
            <x v="4"/>
          </reference>
        </references>
      </pivotArea>
    </format>
    <format dxfId="270">
      <pivotArea type="all" dataOnly="0" outline="0" fieldPosition="0"/>
    </format>
    <format dxfId="269">
      <pivotArea outline="0" collapsedLevelsAreSubtotals="1" fieldPosition="0"/>
    </format>
    <format dxfId="268">
      <pivotArea type="origin" dataOnly="0" labelOnly="1" outline="0" fieldPosition="0"/>
    </format>
    <format dxfId="267">
      <pivotArea field="-2" type="button" dataOnly="0" labelOnly="1" outline="0" axis="axisCol" fieldPosition="0"/>
    </format>
    <format dxfId="266">
      <pivotArea type="topRight" dataOnly="0" labelOnly="1" outline="0" fieldPosition="0"/>
    </format>
    <format dxfId="265">
      <pivotArea field="4" type="button" dataOnly="0" labelOnly="1" outline="0" axis="axisRow" fieldPosition="0"/>
    </format>
    <format dxfId="264">
      <pivotArea field="0" type="button" dataOnly="0" labelOnly="1" outline="0" axis="axisRow" fieldPosition="1"/>
    </format>
    <format dxfId="263">
      <pivotArea dataOnly="0" labelOnly="1" outline="0" fieldPosition="0">
        <references count="1">
          <reference field="4" count="0"/>
        </references>
      </pivotArea>
    </format>
    <format dxfId="262">
      <pivotArea dataOnly="0" labelOnly="1" grandRow="1" outline="0" fieldPosition="0"/>
    </format>
    <format dxfId="261">
      <pivotArea dataOnly="0" labelOnly="1" outline="0" fieldPosition="0">
        <references count="2">
          <reference field="0" count="0"/>
          <reference field="4" count="1" selected="0">
            <x v="0"/>
          </reference>
        </references>
      </pivotArea>
    </format>
    <format dxfId="260">
      <pivotArea dataOnly="0" labelOnly="1" outline="0" fieldPosition="0">
        <references count="2">
          <reference field="0" count="0"/>
          <reference field="4" count="1" selected="0">
            <x v="1"/>
          </reference>
        </references>
      </pivotArea>
    </format>
    <format dxfId="259">
      <pivotArea dataOnly="0" labelOnly="1" outline="0" fieldPosition="0">
        <references count="2">
          <reference field="0" count="0"/>
          <reference field="4" count="1" selected="0">
            <x v="2"/>
          </reference>
        </references>
      </pivotArea>
    </format>
    <format dxfId="258">
      <pivotArea dataOnly="0" labelOnly="1" outline="0" fieldPosition="0">
        <references count="2">
          <reference field="0" count="0"/>
          <reference field="4" count="1" selected="0">
            <x v="3"/>
          </reference>
        </references>
      </pivotArea>
    </format>
    <format dxfId="257">
      <pivotArea dataOnly="0" labelOnly="1" outline="0" fieldPosition="0">
        <references count="1">
          <reference field="4294967294" count="5">
            <x v="0"/>
            <x v="1"/>
            <x v="2"/>
            <x v="3"/>
            <x v="4"/>
          </reference>
        </references>
      </pivotArea>
    </format>
    <format dxfId="256">
      <pivotArea type="all" dataOnly="0" outline="0" fieldPosition="0"/>
    </format>
    <format dxfId="255">
      <pivotArea outline="0" collapsedLevelsAreSubtotals="1" fieldPosition="0"/>
    </format>
    <format dxfId="254">
      <pivotArea type="origin" dataOnly="0" labelOnly="1" outline="0" fieldPosition="0"/>
    </format>
    <format dxfId="253">
      <pivotArea field="-2" type="button" dataOnly="0" labelOnly="1" outline="0" axis="axisCol" fieldPosition="0"/>
    </format>
    <format dxfId="252">
      <pivotArea type="topRight" dataOnly="0" labelOnly="1" outline="0" fieldPosition="0"/>
    </format>
    <format dxfId="251">
      <pivotArea field="4" type="button" dataOnly="0" labelOnly="1" outline="0" axis="axisRow" fieldPosition="0"/>
    </format>
    <format dxfId="250">
      <pivotArea field="0" type="button" dataOnly="0" labelOnly="1" outline="0" axis="axisRow" fieldPosition="1"/>
    </format>
    <format dxfId="249">
      <pivotArea dataOnly="0" labelOnly="1" outline="0" fieldPosition="0">
        <references count="1">
          <reference field="4" count="0"/>
        </references>
      </pivotArea>
    </format>
    <format dxfId="248">
      <pivotArea dataOnly="0" labelOnly="1" grandRow="1" outline="0" fieldPosition="0"/>
    </format>
    <format dxfId="247">
      <pivotArea dataOnly="0" labelOnly="1" outline="0" fieldPosition="0">
        <references count="2">
          <reference field="0" count="0"/>
          <reference field="4" count="1" selected="0">
            <x v="0"/>
          </reference>
        </references>
      </pivotArea>
    </format>
    <format dxfId="246">
      <pivotArea dataOnly="0" labelOnly="1" outline="0" fieldPosition="0">
        <references count="2">
          <reference field="0" count="0"/>
          <reference field="4" count="1" selected="0">
            <x v="1"/>
          </reference>
        </references>
      </pivotArea>
    </format>
    <format dxfId="245">
      <pivotArea dataOnly="0" labelOnly="1" outline="0" fieldPosition="0">
        <references count="2">
          <reference field="0" count="0"/>
          <reference field="4" count="1" selected="0">
            <x v="2"/>
          </reference>
        </references>
      </pivotArea>
    </format>
    <format dxfId="244">
      <pivotArea dataOnly="0" labelOnly="1" outline="0" fieldPosition="0">
        <references count="2">
          <reference field="0" count="0"/>
          <reference field="4" count="1" selected="0">
            <x v="3"/>
          </reference>
        </references>
      </pivotArea>
    </format>
    <format dxfId="243">
      <pivotArea dataOnly="0" labelOnly="1" outline="0" fieldPosition="0">
        <references count="1">
          <reference field="4294967294" count="5">
            <x v="0"/>
            <x v="1"/>
            <x v="2"/>
            <x v="3"/>
            <x v="4"/>
          </reference>
        </references>
      </pivotArea>
    </format>
  </formats>
  <chartFormats count="12">
    <chartFormat chart="1" format="0" series="1">
      <pivotArea type="data" outline="0" fieldPosition="0">
        <references count="1">
          <reference field="4294967294" count="1" selected="0">
            <x v="3"/>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9"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3"/>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 chart="10" format="7" series="1">
      <pivotArea type="data" outline="0" fieldPosition="0">
        <references count="1">
          <reference field="4294967294" count="1" selected="0">
            <x v="3"/>
          </reference>
        </references>
      </pivotArea>
    </chartFormat>
    <chartFormat chart="11" format="9"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1"/>
          </reference>
        </references>
      </pivotArea>
    </chartFormat>
    <chartFormat chart="11" format="11" series="1">
      <pivotArea type="data" outline="0" fieldPosition="0">
        <references count="1">
          <reference field="4294967294"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Profit"/>
    <pivotHierarchy dragToData="1"/>
    <pivotHierarchy dragToData="1" caption="Discount"/>
    <pivotHierarchy dragToData="1" caption="Shipping Cost"/>
    <pivotHierarchy dragToData="1"/>
    <pivotHierarchy dragToData="1" caption="Cumulative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14"/>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0E5194-3C05-46E6-90B9-6648330AF0A8}" name="Distribution_LeastSellingCities" cacheId="6"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1:CL4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406">
      <pivotArea outline="0" collapsedLevelsAreSubtotals="1" fieldPosition="0">
        <references count="1">
          <reference field="4294967294" count="1" selected="0">
            <x v="0"/>
          </reference>
        </references>
      </pivotArea>
    </format>
    <format dxfId="405">
      <pivotArea dataOnly="0" labelOnly="1" outline="0" fieldPosition="0">
        <references count="1">
          <reference field="4294967294" count="1">
            <x v="0"/>
          </reference>
        </references>
      </pivotArea>
    </format>
    <format dxfId="404">
      <pivotArea type="all" dataOnly="0" outline="0" fieldPosition="0"/>
    </format>
    <format dxfId="403">
      <pivotArea outline="0" collapsedLevelsAreSubtotals="1" fieldPosition="0"/>
    </format>
    <format dxfId="402">
      <pivotArea field="0" type="button" dataOnly="0" labelOnly="1" outline="0" axis="axisRow" fieldPosition="0"/>
    </format>
    <format dxfId="401">
      <pivotArea dataOnly="0" labelOnly="1" fieldPosition="0">
        <references count="1">
          <reference field="0" count="0"/>
        </references>
      </pivotArea>
    </format>
    <format dxfId="400">
      <pivotArea dataOnly="0" labelOnly="1" outline="0" fieldPosition="0">
        <references count="1">
          <reference field="4294967294" count="2">
            <x v="0"/>
            <x v="1"/>
          </reference>
        </references>
      </pivotArea>
    </format>
    <format dxfId="399">
      <pivotArea type="all" dataOnly="0" outline="0" fieldPosition="0"/>
    </format>
    <format dxfId="398">
      <pivotArea outline="0" collapsedLevelsAreSubtotals="1" fieldPosition="0"/>
    </format>
    <format dxfId="397">
      <pivotArea field="0" type="button" dataOnly="0" labelOnly="1" outline="0" axis="axisRow" fieldPosition="0"/>
    </format>
    <format dxfId="396">
      <pivotArea dataOnly="0" labelOnly="1" fieldPosition="0">
        <references count="1">
          <reference field="0" count="0"/>
        </references>
      </pivotArea>
    </format>
    <format dxfId="395">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831DD6-3947-4CCD-8750-7DC15B0B0499}" name="Distribution_LeastSellingProducts" cacheId="7"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7:CL20"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423">
      <pivotArea outline="0" collapsedLevelsAreSubtotals="1" fieldPosition="0">
        <references count="1">
          <reference field="4294967294" count="1" selected="0">
            <x v="0"/>
          </reference>
        </references>
      </pivotArea>
    </format>
    <format dxfId="422">
      <pivotArea dataOnly="0" labelOnly="1" outline="0" fieldPosition="0">
        <references count="1">
          <reference field="4294967294" count="1">
            <x v="0"/>
          </reference>
        </references>
      </pivotArea>
    </format>
    <format dxfId="421">
      <pivotArea type="all" dataOnly="0" outline="0" fieldPosition="0"/>
    </format>
    <format dxfId="420">
      <pivotArea outline="0" collapsedLevelsAreSubtotals="1" fieldPosition="0"/>
    </format>
    <format dxfId="419">
      <pivotArea field="0" type="button" dataOnly="0" labelOnly="1" outline="0" axis="axisRow" fieldPosition="0"/>
    </format>
    <format dxfId="418">
      <pivotArea dataOnly="0" labelOnly="1" fieldPosition="0">
        <references count="1">
          <reference field="0" count="0"/>
        </references>
      </pivotArea>
    </format>
    <format dxfId="417">
      <pivotArea dataOnly="0" labelOnly="1" outline="0" fieldPosition="0">
        <references count="1">
          <reference field="4294967294" count="2">
            <x v="0"/>
            <x v="1"/>
          </reference>
        </references>
      </pivotArea>
    </format>
    <format dxfId="416">
      <pivotArea type="all" dataOnly="0" outline="0" fieldPosition="0"/>
    </format>
    <format dxfId="415">
      <pivotArea outline="0" collapsedLevelsAreSubtotals="1" fieldPosition="0"/>
    </format>
    <format dxfId="414">
      <pivotArea field="0" type="button" dataOnly="0" labelOnly="1" outline="0" axis="axisRow" fieldPosition="0"/>
    </format>
    <format dxfId="413">
      <pivotArea dataOnly="0" labelOnly="1" fieldPosition="0">
        <references count="1">
          <reference field="0" count="0"/>
        </references>
      </pivotArea>
    </format>
    <format dxfId="412">
      <pivotArea dataOnly="0" labelOnly="1" outline="0" fieldPosition="0">
        <references count="1">
          <reference field="4294967294" count="2">
            <x v="0"/>
            <x v="1"/>
          </reference>
        </references>
      </pivotArea>
    </format>
    <format dxfId="411">
      <pivotArea type="all" dataOnly="0" outline="0" fieldPosition="0"/>
    </format>
    <format dxfId="410">
      <pivotArea outline="0" collapsedLevelsAreSubtotals="1" fieldPosition="0"/>
    </format>
    <format dxfId="409">
      <pivotArea field="0" type="button" dataOnly="0" labelOnly="1" outline="0" axis="axisRow" fieldPosition="0"/>
    </format>
    <format dxfId="408">
      <pivotArea dataOnly="0" labelOnly="1" fieldPosition="0">
        <references count="1">
          <reference field="0" count="0"/>
        </references>
      </pivotArea>
    </format>
    <format dxfId="407">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BD23C3-A10E-4D8E-8E6E-A329C9120CD7}" name="Distribution_TopProfitProducts" cacheId="10"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1:CL1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7">
    <format dxfId="440">
      <pivotArea outline="0" collapsedLevelsAreSubtotals="1" fieldPosition="0">
        <references count="1">
          <reference field="4294967294" count="1" selected="0">
            <x v="0"/>
          </reference>
        </references>
      </pivotArea>
    </format>
    <format dxfId="439">
      <pivotArea dataOnly="0" labelOnly="1" outline="0" fieldPosition="0">
        <references count="1">
          <reference field="4294967294" count="1">
            <x v="0"/>
          </reference>
        </references>
      </pivotArea>
    </format>
    <format dxfId="438">
      <pivotArea type="all" dataOnly="0" outline="0" fieldPosition="0"/>
    </format>
    <format dxfId="437">
      <pivotArea outline="0" collapsedLevelsAreSubtotals="1" fieldPosition="0"/>
    </format>
    <format dxfId="436">
      <pivotArea field="0" type="button" dataOnly="0" labelOnly="1" outline="0" axis="axisRow" fieldPosition="0"/>
    </format>
    <format dxfId="435">
      <pivotArea dataOnly="0" labelOnly="1" fieldPosition="0">
        <references count="1">
          <reference field="0" count="0"/>
        </references>
      </pivotArea>
    </format>
    <format dxfId="434">
      <pivotArea dataOnly="0" labelOnly="1" outline="0" fieldPosition="0">
        <references count="1">
          <reference field="4294967294" count="2">
            <x v="0"/>
            <x v="1"/>
          </reference>
        </references>
      </pivotArea>
    </format>
    <format dxfId="433">
      <pivotArea type="all" dataOnly="0" outline="0" fieldPosition="0"/>
    </format>
    <format dxfId="432">
      <pivotArea outline="0" collapsedLevelsAreSubtotals="1" fieldPosition="0"/>
    </format>
    <format dxfId="431">
      <pivotArea field="0" type="button" dataOnly="0" labelOnly="1" outline="0" axis="axisRow" fieldPosition="0"/>
    </format>
    <format dxfId="430">
      <pivotArea dataOnly="0" labelOnly="1" fieldPosition="0">
        <references count="1">
          <reference field="0" count="0"/>
        </references>
      </pivotArea>
    </format>
    <format dxfId="429">
      <pivotArea dataOnly="0" labelOnly="1" outline="0" fieldPosition="0">
        <references count="1">
          <reference field="4294967294" count="2">
            <x v="0"/>
            <x v="1"/>
          </reference>
        </references>
      </pivotArea>
    </format>
    <format dxfId="428">
      <pivotArea type="all" dataOnly="0" outline="0" fieldPosition="0"/>
    </format>
    <format dxfId="427">
      <pivotArea outline="0" collapsedLevelsAreSubtotals="1" fieldPosition="0"/>
    </format>
    <format dxfId="426">
      <pivotArea field="0" type="button" dataOnly="0" labelOnly="1" outline="0" axis="axisRow" fieldPosition="0"/>
    </format>
    <format dxfId="425">
      <pivotArea dataOnly="0" labelOnly="1" fieldPosition="0">
        <references count="1">
          <reference field="0" count="0"/>
        </references>
      </pivotArea>
    </format>
    <format dxfId="424">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F53F42-C5BE-4725-88C5-B67AC9C3BAC6}" name="Didtribution_Cust.Segment" cacheId="4"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compact="0" compactData="0" gridDropZones="1" multipleFieldFilters="0">
  <location ref="BT4:BY25" firstHeaderRow="1" firstDataRow="2" firstDataCol="2"/>
  <pivotFields count="7">
    <pivotField name="Cust. Segment" axis="axisRow" compact="0" allDrilled="1" outline="0" subtotalTop="0" showAll="0" defaultSubtotal="0" defaultAttributeDrillState="1">
      <items count="4">
        <item x="2"/>
        <item x="0"/>
        <item x="1"/>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4"/>
    <field x="0"/>
  </rowFields>
  <rowItems count="20">
    <i>
      <x/>
      <x/>
    </i>
    <i r="1">
      <x v="1"/>
    </i>
    <i r="1">
      <x v="2"/>
    </i>
    <i r="1">
      <x v="3"/>
    </i>
    <i>
      <x v="1"/>
      <x/>
    </i>
    <i r="1">
      <x v="1"/>
    </i>
    <i r="1">
      <x v="2"/>
    </i>
    <i r="1">
      <x v="3"/>
    </i>
    <i>
      <x v="2"/>
      <x/>
    </i>
    <i r="1">
      <x v="1"/>
    </i>
    <i r="1">
      <x v="2"/>
    </i>
    <i r="1">
      <x v="3"/>
    </i>
    <i>
      <x v="3"/>
      <x/>
    </i>
    <i r="1">
      <x v="1"/>
    </i>
    <i r="1">
      <x v="2"/>
    </i>
    <i r="1">
      <x v="3"/>
    </i>
    <i>
      <x v="4"/>
      <x/>
    </i>
    <i r="1">
      <x v="1"/>
    </i>
    <i r="1">
      <x v="2"/>
    </i>
    <i r="1">
      <x v="3"/>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69">
    <format dxfId="509">
      <pivotArea outline="0" collapsedLevelsAreSubtotals="1" fieldPosition="0"/>
    </format>
    <format dxfId="508">
      <pivotArea field="-2" type="button" dataOnly="0" labelOnly="1" outline="0" axis="axisCol" fieldPosition="0"/>
    </format>
    <format dxfId="507">
      <pivotArea type="topRight" dataOnly="0" labelOnly="1" outline="0" fieldPosition="0"/>
    </format>
    <format dxfId="506">
      <pivotArea dataOnly="0" labelOnly="1" outline="0" fieldPosition="0">
        <references count="1">
          <reference field="4294967294" count="2">
            <x v="0"/>
            <x v="1"/>
          </reference>
        </references>
      </pivotArea>
    </format>
    <format dxfId="505">
      <pivotArea dataOnly="0" labelOnly="1" outline="0" fieldPosition="0">
        <references count="1">
          <reference field="4294967294" count="1">
            <x v="0"/>
          </reference>
        </references>
      </pivotArea>
    </format>
    <format dxfId="504">
      <pivotArea dataOnly="0" labelOnly="1" outline="0" fieldPosition="0">
        <references count="1">
          <reference field="4294967294" count="1">
            <x v="1"/>
          </reference>
        </references>
      </pivotArea>
    </format>
    <format dxfId="503">
      <pivotArea outline="0" fieldPosition="0">
        <references count="1">
          <reference field="4294967294" count="1" selected="0">
            <x v="0"/>
          </reference>
        </references>
      </pivotArea>
    </format>
    <format dxfId="502">
      <pivotArea outline="0" fieldPosition="0">
        <references count="1">
          <reference field="4294967294" count="1" selected="0">
            <x v="1"/>
          </reference>
        </references>
      </pivotArea>
    </format>
    <format dxfId="501">
      <pivotArea outline="0" fieldPosition="0">
        <references count="1">
          <reference field="4294967294" count="1" selected="0">
            <x v="3"/>
          </reference>
        </references>
      </pivotArea>
    </format>
    <format dxfId="500">
      <pivotArea type="all" dataOnly="0" outline="0" fieldPosition="0"/>
    </format>
    <format dxfId="499">
      <pivotArea outline="0" collapsedLevelsAreSubtotals="1" fieldPosition="0"/>
    </format>
    <format dxfId="498">
      <pivotArea type="origin" dataOnly="0" labelOnly="1" outline="0" fieldPosition="0"/>
    </format>
    <format dxfId="497">
      <pivotArea field="-2" type="button" dataOnly="0" labelOnly="1" outline="0" axis="axisCol" fieldPosition="0"/>
    </format>
    <format dxfId="496">
      <pivotArea type="topRight" dataOnly="0" labelOnly="1" outline="0" fieldPosition="0"/>
    </format>
    <format dxfId="495">
      <pivotArea field="0" type="button" dataOnly="0" labelOnly="1" outline="0" axis="axisRow" fieldPosition="1"/>
    </format>
    <format dxfId="494">
      <pivotArea field="4" type="button" dataOnly="0" labelOnly="1" outline="0" axis="axisRow" fieldPosition="0"/>
    </format>
    <format dxfId="493">
      <pivotArea dataOnly="0" labelOnly="1" outline="0" fieldPosition="0">
        <references count="1">
          <reference field="0" count="0"/>
        </references>
      </pivotArea>
    </format>
    <format dxfId="492">
      <pivotArea dataOnly="0" labelOnly="1" outline="0" fieldPosition="0">
        <references count="1">
          <reference field="4294967294" count="4">
            <x v="0"/>
            <x v="1"/>
            <x v="2"/>
            <x v="3"/>
          </reference>
        </references>
      </pivotArea>
    </format>
    <format dxfId="491">
      <pivotArea type="all" dataOnly="0" outline="0" fieldPosition="0"/>
    </format>
    <format dxfId="490">
      <pivotArea outline="0" collapsedLevelsAreSubtotals="1" fieldPosition="0"/>
    </format>
    <format dxfId="489">
      <pivotArea type="origin" dataOnly="0" labelOnly="1" outline="0" fieldPosition="0"/>
    </format>
    <format dxfId="488">
      <pivotArea field="-2" type="button" dataOnly="0" labelOnly="1" outline="0" axis="axisCol" fieldPosition="0"/>
    </format>
    <format dxfId="487">
      <pivotArea type="topRight" dataOnly="0" labelOnly="1" outline="0" fieldPosition="0"/>
    </format>
    <format dxfId="486">
      <pivotArea field="0" type="button" dataOnly="0" labelOnly="1" outline="0" axis="axisRow" fieldPosition="1"/>
    </format>
    <format dxfId="485">
      <pivotArea field="4" type="button" dataOnly="0" labelOnly="1" outline="0" axis="axisRow" fieldPosition="0"/>
    </format>
    <format dxfId="484">
      <pivotArea dataOnly="0" labelOnly="1" outline="0" fieldPosition="0">
        <references count="1">
          <reference field="0" count="0"/>
        </references>
      </pivotArea>
    </format>
    <format dxfId="483">
      <pivotArea dataOnly="0" labelOnly="1" outline="0" fieldPosition="0">
        <references count="1">
          <reference field="4294967294" count="4">
            <x v="0"/>
            <x v="1"/>
            <x v="2"/>
            <x v="3"/>
          </reference>
        </references>
      </pivotArea>
    </format>
    <format dxfId="482">
      <pivotArea type="all" dataOnly="0" outline="0" fieldPosition="0"/>
    </format>
    <format dxfId="481">
      <pivotArea outline="0" collapsedLevelsAreSubtotals="1" fieldPosition="0"/>
    </format>
    <format dxfId="480">
      <pivotArea type="origin" dataOnly="0" labelOnly="1" outline="0" fieldPosition="0"/>
    </format>
    <format dxfId="479">
      <pivotArea field="-2" type="button" dataOnly="0" labelOnly="1" outline="0" axis="axisCol" fieldPosition="0"/>
    </format>
    <format dxfId="478">
      <pivotArea type="topRight" dataOnly="0" labelOnly="1" outline="0" fieldPosition="0"/>
    </format>
    <format dxfId="477">
      <pivotArea field="4" type="button" dataOnly="0" labelOnly="1" outline="0" axis="axisRow" fieldPosition="0"/>
    </format>
    <format dxfId="476">
      <pivotArea field="0" type="button" dataOnly="0" labelOnly="1" outline="0" axis="axisRow" fieldPosition="1"/>
    </format>
    <format dxfId="475">
      <pivotArea dataOnly="0" labelOnly="1" outline="0" fieldPosition="0">
        <references count="1">
          <reference field="4" count="0"/>
        </references>
      </pivotArea>
    </format>
    <format dxfId="474">
      <pivotArea dataOnly="0" labelOnly="1" outline="0" fieldPosition="0">
        <references count="2">
          <reference field="0" count="0"/>
          <reference field="4" count="1" selected="0">
            <x v="0"/>
          </reference>
        </references>
      </pivotArea>
    </format>
    <format dxfId="473">
      <pivotArea dataOnly="0" labelOnly="1" outline="0" fieldPosition="0">
        <references count="2">
          <reference field="0" count="0"/>
          <reference field="4" count="1" selected="0">
            <x v="1"/>
          </reference>
        </references>
      </pivotArea>
    </format>
    <format dxfId="472">
      <pivotArea dataOnly="0" labelOnly="1" outline="0" fieldPosition="0">
        <references count="2">
          <reference field="0" count="0"/>
          <reference field="4" count="1" selected="0">
            <x v="2"/>
          </reference>
        </references>
      </pivotArea>
    </format>
    <format dxfId="471">
      <pivotArea dataOnly="0" labelOnly="1" outline="0" fieldPosition="0">
        <references count="2">
          <reference field="0" count="0"/>
          <reference field="4" count="1" selected="0">
            <x v="3"/>
          </reference>
        </references>
      </pivotArea>
    </format>
    <format dxfId="470">
      <pivotArea dataOnly="0" labelOnly="1" outline="0" fieldPosition="0">
        <references count="2">
          <reference field="0" count="0"/>
          <reference field="4" count="1" selected="0">
            <x v="4"/>
          </reference>
        </references>
      </pivotArea>
    </format>
    <format dxfId="469">
      <pivotArea dataOnly="0" labelOnly="1" outline="0" fieldPosition="0">
        <references count="1">
          <reference field="4294967294" count="4">
            <x v="0"/>
            <x v="1"/>
            <x v="2"/>
            <x v="3"/>
          </reference>
        </references>
      </pivotArea>
    </format>
    <format dxfId="468">
      <pivotArea type="all" dataOnly="0" outline="0" fieldPosition="0"/>
    </format>
    <format dxfId="467">
      <pivotArea outline="0" collapsedLevelsAreSubtotals="1" fieldPosition="0"/>
    </format>
    <format dxfId="466">
      <pivotArea type="origin" dataOnly="0" labelOnly="1" outline="0" fieldPosition="0"/>
    </format>
    <format dxfId="465">
      <pivotArea field="-2" type="button" dataOnly="0" labelOnly="1" outline="0" axis="axisCol" fieldPosition="0"/>
    </format>
    <format dxfId="464">
      <pivotArea type="topRight" dataOnly="0" labelOnly="1" outline="0" fieldPosition="0"/>
    </format>
    <format dxfId="463">
      <pivotArea field="4" type="button" dataOnly="0" labelOnly="1" outline="0" axis="axisRow" fieldPosition="0"/>
    </format>
    <format dxfId="462">
      <pivotArea field="0" type="button" dataOnly="0" labelOnly="1" outline="0" axis="axisRow" fieldPosition="1"/>
    </format>
    <format dxfId="461">
      <pivotArea dataOnly="0" labelOnly="1" outline="0" fieldPosition="0">
        <references count="1">
          <reference field="4" count="0"/>
        </references>
      </pivotArea>
    </format>
    <format dxfId="460">
      <pivotArea dataOnly="0" labelOnly="1" outline="0" fieldPosition="0">
        <references count="2">
          <reference field="0" count="0"/>
          <reference field="4" count="1" selected="0">
            <x v="0"/>
          </reference>
        </references>
      </pivotArea>
    </format>
    <format dxfId="459">
      <pivotArea dataOnly="0" labelOnly="1" outline="0" fieldPosition="0">
        <references count="2">
          <reference field="0" count="0"/>
          <reference field="4" count="1" selected="0">
            <x v="1"/>
          </reference>
        </references>
      </pivotArea>
    </format>
    <format dxfId="458">
      <pivotArea dataOnly="0" labelOnly="1" outline="0" fieldPosition="0">
        <references count="2">
          <reference field="0" count="0"/>
          <reference field="4" count="1" selected="0">
            <x v="2"/>
          </reference>
        </references>
      </pivotArea>
    </format>
    <format dxfId="457">
      <pivotArea dataOnly="0" labelOnly="1" outline="0" fieldPosition="0">
        <references count="2">
          <reference field="0" count="0"/>
          <reference field="4" count="1" selected="0">
            <x v="3"/>
          </reference>
        </references>
      </pivotArea>
    </format>
    <format dxfId="456">
      <pivotArea dataOnly="0" labelOnly="1" outline="0" fieldPosition="0">
        <references count="2">
          <reference field="0" count="0"/>
          <reference field="4" count="1" selected="0">
            <x v="4"/>
          </reference>
        </references>
      </pivotArea>
    </format>
    <format dxfId="455">
      <pivotArea dataOnly="0" labelOnly="1" outline="0" fieldPosition="0">
        <references count="1">
          <reference field="4294967294" count="4">
            <x v="0"/>
            <x v="1"/>
            <x v="2"/>
            <x v="3"/>
          </reference>
        </references>
      </pivotArea>
    </format>
    <format dxfId="454">
      <pivotArea type="all" dataOnly="0" outline="0" fieldPosition="0"/>
    </format>
    <format dxfId="453">
      <pivotArea outline="0" collapsedLevelsAreSubtotals="1" fieldPosition="0"/>
    </format>
    <format dxfId="452">
      <pivotArea type="origin" dataOnly="0" labelOnly="1" outline="0" fieldPosition="0"/>
    </format>
    <format dxfId="451">
      <pivotArea field="-2" type="button" dataOnly="0" labelOnly="1" outline="0" axis="axisCol" fieldPosition="0"/>
    </format>
    <format dxfId="450">
      <pivotArea type="topRight" dataOnly="0" labelOnly="1" outline="0" fieldPosition="0"/>
    </format>
    <format dxfId="449">
      <pivotArea field="4" type="button" dataOnly="0" labelOnly="1" outline="0" axis="axisRow" fieldPosition="0"/>
    </format>
    <format dxfId="448">
      <pivotArea field="0" type="button" dataOnly="0" labelOnly="1" outline="0" axis="axisRow" fieldPosition="1"/>
    </format>
    <format dxfId="447">
      <pivotArea dataOnly="0" labelOnly="1" outline="0" fieldPosition="0">
        <references count="1">
          <reference field="4" count="0"/>
        </references>
      </pivotArea>
    </format>
    <format dxfId="446">
      <pivotArea dataOnly="0" labelOnly="1" outline="0" fieldPosition="0">
        <references count="2">
          <reference field="0" count="0"/>
          <reference field="4" count="1" selected="0">
            <x v="0"/>
          </reference>
        </references>
      </pivotArea>
    </format>
    <format dxfId="445">
      <pivotArea dataOnly="0" labelOnly="1" outline="0" fieldPosition="0">
        <references count="2">
          <reference field="0" count="0"/>
          <reference field="4" count="1" selected="0">
            <x v="1"/>
          </reference>
        </references>
      </pivotArea>
    </format>
    <format dxfId="444">
      <pivotArea dataOnly="0" labelOnly="1" outline="0" fieldPosition="0">
        <references count="2">
          <reference field="0" count="0"/>
          <reference field="4" count="1" selected="0">
            <x v="2"/>
          </reference>
        </references>
      </pivotArea>
    </format>
    <format dxfId="443">
      <pivotArea dataOnly="0" labelOnly="1" outline="0" fieldPosition="0">
        <references count="2">
          <reference field="0" count="0"/>
          <reference field="4" count="1" selected="0">
            <x v="3"/>
          </reference>
        </references>
      </pivotArea>
    </format>
    <format dxfId="442">
      <pivotArea dataOnly="0" labelOnly="1" outline="0" fieldPosition="0">
        <references count="2">
          <reference field="0" count="0"/>
          <reference field="4" count="1" selected="0">
            <x v="4"/>
          </reference>
        </references>
      </pivotArea>
    </format>
    <format dxfId="441">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2"/>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54C3FC9-C493-43E8-B9CF-2CA2DD593070}" name="Distribution_TopSellingProducts" cacheId="12"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5:CL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526">
      <pivotArea outline="0" collapsedLevelsAreSubtotals="1" fieldPosition="0">
        <references count="1">
          <reference field="4294967294" count="1" selected="0">
            <x v="0"/>
          </reference>
        </references>
      </pivotArea>
    </format>
    <format dxfId="525">
      <pivotArea dataOnly="0" labelOnly="1" outline="0" fieldPosition="0">
        <references count="1">
          <reference field="4294967294" count="1">
            <x v="0"/>
          </reference>
        </references>
      </pivotArea>
    </format>
    <format dxfId="524">
      <pivotArea type="all" dataOnly="0" outline="0" fieldPosition="0"/>
    </format>
    <format dxfId="523">
      <pivotArea outline="0" collapsedLevelsAreSubtotals="1" fieldPosition="0"/>
    </format>
    <format dxfId="522">
      <pivotArea field="0" type="button" dataOnly="0" labelOnly="1" outline="0" axis="axisRow" fieldPosition="0"/>
    </format>
    <format dxfId="521">
      <pivotArea dataOnly="0" labelOnly="1" fieldPosition="0">
        <references count="1">
          <reference field="0" count="0"/>
        </references>
      </pivotArea>
    </format>
    <format dxfId="520">
      <pivotArea dataOnly="0" labelOnly="1" outline="0" fieldPosition="0">
        <references count="1">
          <reference field="4294967294" count="2">
            <x v="0"/>
            <x v="1"/>
          </reference>
        </references>
      </pivotArea>
    </format>
    <format dxfId="519">
      <pivotArea type="all" dataOnly="0" outline="0" fieldPosition="0"/>
    </format>
    <format dxfId="518">
      <pivotArea outline="0" collapsedLevelsAreSubtotals="1" fieldPosition="0"/>
    </format>
    <format dxfId="517">
      <pivotArea field="0" type="button" dataOnly="0" labelOnly="1" outline="0" axis="axisRow" fieldPosition="0"/>
    </format>
    <format dxfId="516">
      <pivotArea dataOnly="0" labelOnly="1" fieldPosition="0">
        <references count="1">
          <reference field="0" count="0"/>
        </references>
      </pivotArea>
    </format>
    <format dxfId="515">
      <pivotArea dataOnly="0" labelOnly="1" outline="0" fieldPosition="0">
        <references count="1">
          <reference field="4294967294" count="2">
            <x v="0"/>
            <x v="1"/>
          </reference>
        </references>
      </pivotArea>
    </format>
    <format dxfId="514">
      <pivotArea type="all" dataOnly="0" outline="0" fieldPosition="0"/>
    </format>
    <format dxfId="513">
      <pivotArea outline="0" collapsedLevelsAreSubtotals="1" fieldPosition="0"/>
    </format>
    <format dxfId="512">
      <pivotArea field="0" type="button" dataOnly="0" labelOnly="1" outline="0" axis="axisRow" fieldPosition="0"/>
    </format>
    <format dxfId="511">
      <pivotArea dataOnly="0" labelOnly="1" fieldPosition="0">
        <references count="1">
          <reference field="0" count="0"/>
        </references>
      </pivotArea>
    </format>
    <format dxfId="510">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98F7B23-6170-416C-B638-C60923186402}" name="Sales&amp;Profit_BarChart" cacheId="17" applyNumberFormats="0" applyBorderFormats="0" applyFontFormats="0" applyPatternFormats="0" applyAlignmentFormats="0" applyWidthHeightFormats="1" dataCaption="Values" tag="c6d8c68b-c2ed-46c6-92a7-0edbcf960931" updatedVersion="8" minRefreshableVersion="3" subtotalHiddenItems="1" itemPrintTitles="1" createdVersion="8" indent="0" outline="1" outlineData="1" multipleFieldFilters="0" chartFormat="37" rowHeaderCaption="Product Sub-Category">
  <location ref="F27:G34"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Profit" fld="1" baseField="0" baseItem="0" numFmtId="165"/>
  </dataFields>
  <formats count="56">
    <format dxfId="582">
      <pivotArea collapsedLevelsAreSubtotals="1" fieldPosition="0">
        <references count="1">
          <reference field="0" count="1">
            <x v="2"/>
          </reference>
        </references>
      </pivotArea>
    </format>
    <format dxfId="581">
      <pivotArea outline="0" collapsedLevelsAreSubtotals="1" fieldPosition="0"/>
    </format>
    <format dxfId="580">
      <pivotArea type="all" dataOnly="0" outline="0" fieldPosition="0"/>
    </format>
    <format dxfId="579">
      <pivotArea outline="0" collapsedLevelsAreSubtotals="1" fieldPosition="0"/>
    </format>
    <format dxfId="578">
      <pivotArea field="0" type="button" dataOnly="0" labelOnly="1" outline="0" axis="axisRow" fieldPosition="0"/>
    </format>
    <format dxfId="577">
      <pivotArea dataOnly="0" labelOnly="1" fieldPosition="0">
        <references count="1">
          <reference field="0" count="0"/>
        </references>
      </pivotArea>
    </format>
    <format dxfId="576">
      <pivotArea dataOnly="0" labelOnly="1" grandRow="1" outline="0" fieldPosition="0"/>
    </format>
    <format dxfId="575">
      <pivotArea dataOnly="0" labelOnly="1" outline="0" axis="axisValues" fieldPosition="0"/>
    </format>
    <format dxfId="574">
      <pivotArea type="all" dataOnly="0" outline="0" fieldPosition="0"/>
    </format>
    <format dxfId="573">
      <pivotArea outline="0" collapsedLevelsAreSubtotals="1" fieldPosition="0"/>
    </format>
    <format dxfId="572">
      <pivotArea field="0" type="button" dataOnly="0" labelOnly="1" outline="0" axis="axisRow" fieldPosition="0"/>
    </format>
    <format dxfId="571">
      <pivotArea dataOnly="0" labelOnly="1" fieldPosition="0">
        <references count="1">
          <reference field="0" count="0"/>
        </references>
      </pivotArea>
    </format>
    <format dxfId="570">
      <pivotArea dataOnly="0" labelOnly="1" grandRow="1" outline="0" fieldPosition="0"/>
    </format>
    <format dxfId="569">
      <pivotArea dataOnly="0" labelOnly="1" outline="0" axis="axisValues" fieldPosition="0"/>
    </format>
    <format dxfId="568">
      <pivotArea type="all" dataOnly="0" outline="0" fieldPosition="0"/>
    </format>
    <format dxfId="567">
      <pivotArea outline="0" collapsedLevelsAreSubtotals="1" fieldPosition="0"/>
    </format>
    <format dxfId="566">
      <pivotArea field="0" type="button" dataOnly="0" labelOnly="1" outline="0" axis="axisRow" fieldPosition="0"/>
    </format>
    <format dxfId="565">
      <pivotArea dataOnly="0" labelOnly="1" fieldPosition="0">
        <references count="1">
          <reference field="0" count="0"/>
        </references>
      </pivotArea>
    </format>
    <format dxfId="564">
      <pivotArea dataOnly="0" labelOnly="1" grandRow="1" outline="0" fieldPosition="0"/>
    </format>
    <format dxfId="563">
      <pivotArea dataOnly="0" labelOnly="1" outline="0" axis="axisValues" fieldPosition="0"/>
    </format>
    <format dxfId="562">
      <pivotArea type="all" dataOnly="0" outline="0" fieldPosition="0"/>
    </format>
    <format dxfId="561">
      <pivotArea outline="0" collapsedLevelsAreSubtotals="1" fieldPosition="0"/>
    </format>
    <format dxfId="560">
      <pivotArea field="0" type="button" dataOnly="0" labelOnly="1" outline="0" axis="axisRow" fieldPosition="0"/>
    </format>
    <format dxfId="559">
      <pivotArea dataOnly="0" labelOnly="1" fieldPosition="0">
        <references count="1">
          <reference field="0" count="1">
            <x v="1"/>
          </reference>
        </references>
      </pivotArea>
    </format>
    <format dxfId="558">
      <pivotArea dataOnly="0" labelOnly="1" grandRow="1" outline="0" fieldPosition="0"/>
    </format>
    <format dxfId="557">
      <pivotArea dataOnly="0" labelOnly="1" outline="0" axis="axisValues" fieldPosition="0"/>
    </format>
    <format dxfId="556">
      <pivotArea type="all" dataOnly="0" outline="0" fieldPosition="0"/>
    </format>
    <format dxfId="555">
      <pivotArea outline="0" collapsedLevelsAreSubtotals="1" fieldPosition="0"/>
    </format>
    <format dxfId="554">
      <pivotArea field="0" type="button" dataOnly="0" labelOnly="1" outline="0" axis="axisRow" fieldPosition="0"/>
    </format>
    <format dxfId="553">
      <pivotArea dataOnly="0" labelOnly="1" fieldPosition="0">
        <references count="1">
          <reference field="0" count="0"/>
        </references>
      </pivotArea>
    </format>
    <format dxfId="552">
      <pivotArea dataOnly="0" labelOnly="1" grandRow="1" outline="0" fieldPosition="0"/>
    </format>
    <format dxfId="551">
      <pivotArea dataOnly="0" labelOnly="1" outline="0" axis="axisValues" fieldPosition="0"/>
    </format>
    <format dxfId="550">
      <pivotArea type="all" dataOnly="0" outline="0" fieldPosition="0"/>
    </format>
    <format dxfId="549">
      <pivotArea outline="0" collapsedLevelsAreSubtotals="1" fieldPosition="0"/>
    </format>
    <format dxfId="548">
      <pivotArea field="0" type="button" dataOnly="0" labelOnly="1" outline="0" axis="axisRow" fieldPosition="0"/>
    </format>
    <format dxfId="547">
      <pivotArea dataOnly="0" labelOnly="1" fieldPosition="0">
        <references count="1">
          <reference field="0" count="0"/>
        </references>
      </pivotArea>
    </format>
    <format dxfId="546">
      <pivotArea dataOnly="0" labelOnly="1" grandRow="1" outline="0" fieldPosition="0"/>
    </format>
    <format dxfId="545">
      <pivotArea dataOnly="0" labelOnly="1" outline="0" axis="axisValues" fieldPosition="0"/>
    </format>
    <format dxfId="544">
      <pivotArea type="all" dataOnly="0" outline="0" fieldPosition="0"/>
    </format>
    <format dxfId="543">
      <pivotArea outline="0" collapsedLevelsAreSubtotals="1" fieldPosition="0"/>
    </format>
    <format dxfId="542">
      <pivotArea field="0" type="button" dataOnly="0" labelOnly="1" outline="0" axis="axisRow" fieldPosition="0"/>
    </format>
    <format dxfId="541">
      <pivotArea dataOnly="0" labelOnly="1" fieldPosition="0">
        <references count="1">
          <reference field="0" count="0"/>
        </references>
      </pivotArea>
    </format>
    <format dxfId="540">
      <pivotArea dataOnly="0" labelOnly="1" grandRow="1" outline="0" fieldPosition="0"/>
    </format>
    <format dxfId="539">
      <pivotArea dataOnly="0" labelOnly="1" outline="0" axis="axisValues" fieldPosition="0"/>
    </format>
    <format dxfId="538">
      <pivotArea type="all" dataOnly="0" outline="0" fieldPosition="0"/>
    </format>
    <format dxfId="537">
      <pivotArea outline="0" collapsedLevelsAreSubtotals="1" fieldPosition="0"/>
    </format>
    <format dxfId="536">
      <pivotArea field="0" type="button" dataOnly="0" labelOnly="1" outline="0" axis="axisRow" fieldPosition="0"/>
    </format>
    <format dxfId="535">
      <pivotArea dataOnly="0" labelOnly="1" fieldPosition="0">
        <references count="1">
          <reference field="0" count="0"/>
        </references>
      </pivotArea>
    </format>
    <format dxfId="534">
      <pivotArea dataOnly="0" labelOnly="1" grandRow="1" outline="0" fieldPosition="0"/>
    </format>
    <format dxfId="533">
      <pivotArea dataOnly="0" labelOnly="1" outline="0" axis="axisValues" fieldPosition="0"/>
    </format>
    <format dxfId="532">
      <pivotArea type="all" dataOnly="0" outline="0" fieldPosition="0"/>
    </format>
    <format dxfId="531">
      <pivotArea outline="0" collapsedLevelsAreSubtotals="1" fieldPosition="0"/>
    </format>
    <format dxfId="530">
      <pivotArea field="0" type="button" dataOnly="0" labelOnly="1" outline="0" axis="axisRow" fieldPosition="0"/>
    </format>
    <format dxfId="529">
      <pivotArea dataOnly="0" labelOnly="1" fieldPosition="0">
        <references count="1">
          <reference field="0" count="0"/>
        </references>
      </pivotArea>
    </format>
    <format dxfId="528">
      <pivotArea dataOnly="0" labelOnly="1" grandRow="1" outline="0" fieldPosition="0"/>
    </format>
    <format dxfId="527">
      <pivotArea dataOnly="0" labelOnly="1" outline="0" axis="axisValues" fieldPosition="0"/>
    </format>
  </formats>
  <chartFormats count="2">
    <chartFormat chart="24" format="2"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F9F2B4-8EA3-47A7-A55A-1DC739A9E1F3}" name="SalesMap_The Map" cacheId="13" applyNumberFormats="0" applyBorderFormats="0" applyFontFormats="0" applyPatternFormats="0" applyAlignmentFormats="0" applyWidthHeightFormats="1" dataCaption="Values" tag="f77f5d1d-165f-4424-9b2f-da235a565a48" updatedVersion="8" minRefreshableVersion="3" subtotalHiddenItems="1" rowGrandTotals="0" itemPrintTitles="1" createdVersion="8" indent="0" compact="0" outline="1" outlineData="1" compactData="0" multipleFieldFilters="0" chartFormat="2" rowHeaderCaption="States">
  <location ref="U5:Y54" firstHeaderRow="0" firstDataRow="1" firstDataCol="1"/>
  <pivotFields count="6">
    <pivotField axis="axisRow" compact="0" allDrilled="1"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compact="0" allDrilled="1" subtotalTop="0" showAll="0" dataSourceSort="1" defaultSubtotal="0" defaultAttributeDrillState="1"/>
  </pivotFields>
  <rowFields count="1">
    <field x="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Fields count="1">
    <field x="-2"/>
  </colFields>
  <colItems count="4">
    <i>
      <x/>
    </i>
    <i i="1">
      <x v="1"/>
    </i>
    <i i="2">
      <x v="2"/>
    </i>
    <i i="3">
      <x v="3"/>
    </i>
  </colItems>
  <dataFields count="4">
    <dataField name="Total Sales" fld="1" baseField="0" baseItem="0"/>
    <dataField name="All other Cost" fld="2" baseField="0" baseItem="0"/>
    <dataField name="Shipping Cost" fld="3" baseField="0" baseItem="0"/>
    <dataField name="Net Profit" fld="4" baseField="0" baseItem="0"/>
  </dataFields>
  <formats count="57">
    <format dxfId="639">
      <pivotArea type="all" dataOnly="0" outline="0" fieldPosition="0"/>
    </format>
    <format dxfId="638">
      <pivotArea outline="0" collapsedLevelsAreSubtotals="1" fieldPosition="0"/>
    </format>
    <format dxfId="637">
      <pivotArea field="0" type="button" dataOnly="0" labelOnly="1" outline="0" axis="axisRow" fieldPosition="0"/>
    </format>
    <format dxfId="636">
      <pivotArea dataOnly="0" labelOnly="1" outline="0" fieldPosition="0">
        <references count="1">
          <reference field="0" count="0"/>
        </references>
      </pivotArea>
    </format>
    <format dxfId="635">
      <pivotArea dataOnly="0" labelOnly="1" grandRow="1" outline="0" fieldPosition="0"/>
    </format>
    <format dxfId="634">
      <pivotArea type="all" dataOnly="0" outline="0" fieldPosition="0"/>
    </format>
    <format dxfId="633">
      <pivotArea outline="0" collapsedLevelsAreSubtotals="1" fieldPosition="0"/>
    </format>
    <format dxfId="632">
      <pivotArea field="0" type="button" dataOnly="0" labelOnly="1" outline="0" axis="axisRow" fieldPosition="0"/>
    </format>
    <format dxfId="631">
      <pivotArea dataOnly="0" labelOnly="1" outline="0" fieldPosition="0">
        <references count="1">
          <reference field="0" count="0"/>
        </references>
      </pivotArea>
    </format>
    <format dxfId="630">
      <pivotArea dataOnly="0" labelOnly="1" grandRow="1" outline="0" fieldPosition="0"/>
    </format>
    <format dxfId="629">
      <pivotArea type="all" dataOnly="0" outline="0" fieldPosition="0"/>
    </format>
    <format dxfId="628">
      <pivotArea outline="0" collapsedLevelsAreSubtotals="1" fieldPosition="0"/>
    </format>
    <format dxfId="627">
      <pivotArea field="0" type="button" dataOnly="0" labelOnly="1" outline="0" axis="axisRow" fieldPosition="0"/>
    </format>
    <format dxfId="626">
      <pivotArea dataOnly="0" labelOnly="1" outline="0" fieldPosition="0">
        <references count="1">
          <reference field="0" count="0"/>
        </references>
      </pivotArea>
    </format>
    <format dxfId="625">
      <pivotArea dataOnly="0" labelOnly="1" outline="0" fieldPosition="0">
        <references count="1">
          <reference field="4294967294" count="1">
            <x v="0"/>
          </reference>
        </references>
      </pivotArea>
    </format>
    <format dxfId="624">
      <pivotArea outline="0" collapsedLevelsAreSubtotals="1" fieldPosition="0"/>
    </format>
    <format dxfId="623">
      <pivotArea type="all" dataOnly="0" outline="0" fieldPosition="0"/>
    </format>
    <format dxfId="622">
      <pivotArea outline="0" collapsedLevelsAreSubtotals="1" fieldPosition="0"/>
    </format>
    <format dxfId="621">
      <pivotArea field="0" type="button" dataOnly="0" labelOnly="1" outline="0" axis="axisRow" fieldPosition="0"/>
    </format>
    <format dxfId="620">
      <pivotArea dataOnly="0" labelOnly="1" outline="0" fieldPosition="0">
        <references count="1">
          <reference field="0" count="0"/>
        </references>
      </pivotArea>
    </format>
    <format dxfId="619">
      <pivotArea dataOnly="0" labelOnly="1" outline="0" fieldPosition="0">
        <references count="1">
          <reference field="4294967294" count="4">
            <x v="0"/>
            <x v="1"/>
            <x v="2"/>
            <x v="3"/>
          </reference>
        </references>
      </pivotArea>
    </format>
    <format dxfId="618">
      <pivotArea type="all" dataOnly="0" outline="0" fieldPosition="0"/>
    </format>
    <format dxfId="617">
      <pivotArea outline="0" collapsedLevelsAreSubtotals="1" fieldPosition="0"/>
    </format>
    <format dxfId="616">
      <pivotArea field="0" type="button" dataOnly="0" labelOnly="1" outline="0" axis="axisRow" fieldPosition="0"/>
    </format>
    <format dxfId="615">
      <pivotArea dataOnly="0" labelOnly="1" outline="0" fieldPosition="0">
        <references count="1">
          <reference field="0" count="0"/>
        </references>
      </pivotArea>
    </format>
    <format dxfId="614">
      <pivotArea dataOnly="0" labelOnly="1" outline="0" fieldPosition="0">
        <references count="1">
          <reference field="4294967294" count="4">
            <x v="0"/>
            <x v="1"/>
            <x v="2"/>
            <x v="3"/>
          </reference>
        </references>
      </pivotArea>
    </format>
    <format dxfId="613">
      <pivotArea type="all" dataOnly="0" outline="0" fieldPosition="0"/>
    </format>
    <format dxfId="612">
      <pivotArea outline="0" collapsedLevelsAreSubtotals="1" fieldPosition="0"/>
    </format>
    <format dxfId="611">
      <pivotArea field="0" type="button" dataOnly="0" labelOnly="1" outline="0" axis="axisRow" fieldPosition="0"/>
    </format>
    <format dxfId="610">
      <pivotArea dataOnly="0" labelOnly="1" outline="0" fieldPosition="0">
        <references count="1">
          <reference field="0" count="0"/>
        </references>
      </pivotArea>
    </format>
    <format dxfId="609">
      <pivotArea dataOnly="0" labelOnly="1" outline="0" fieldPosition="0">
        <references count="1">
          <reference field="4294967294" count="4">
            <x v="0"/>
            <x v="1"/>
            <x v="2"/>
            <x v="3"/>
          </reference>
        </references>
      </pivotArea>
    </format>
    <format dxfId="608">
      <pivotArea type="all" dataOnly="0" outline="0" fieldPosition="0"/>
    </format>
    <format dxfId="607">
      <pivotArea outline="0" collapsedLevelsAreSubtotals="1" fieldPosition="0"/>
    </format>
    <format dxfId="606">
      <pivotArea field="0" type="button" dataOnly="0" labelOnly="1" outline="0" axis="axisRow" fieldPosition="0"/>
    </format>
    <format dxfId="605">
      <pivotArea dataOnly="0" labelOnly="1" outline="0" fieldPosition="0">
        <references count="1">
          <reference field="0" count="0"/>
        </references>
      </pivotArea>
    </format>
    <format dxfId="604">
      <pivotArea dataOnly="0" labelOnly="1" outline="0" fieldPosition="0">
        <references count="1">
          <reference field="4294967294" count="4">
            <x v="0"/>
            <x v="1"/>
            <x v="2"/>
            <x v="3"/>
          </reference>
        </references>
      </pivotArea>
    </format>
    <format dxfId="603">
      <pivotArea type="all" dataOnly="0" outline="0" fieldPosition="0"/>
    </format>
    <format dxfId="602">
      <pivotArea outline="0" collapsedLevelsAreSubtotals="1" fieldPosition="0"/>
    </format>
    <format dxfId="601">
      <pivotArea field="0" type="button" dataOnly="0" labelOnly="1" outline="0" axis="axisRow" fieldPosition="0"/>
    </format>
    <format dxfId="600">
      <pivotArea dataOnly="0" labelOnly="1" outline="0" fieldPosition="0">
        <references count="1">
          <reference field="0" count="0"/>
        </references>
      </pivotArea>
    </format>
    <format dxfId="599">
      <pivotArea dataOnly="0" labelOnly="1" outline="0" fieldPosition="0">
        <references count="1">
          <reference field="4294967294" count="4">
            <x v="0"/>
            <x v="1"/>
            <x v="2"/>
            <x v="3"/>
          </reference>
        </references>
      </pivotArea>
    </format>
    <format dxfId="598">
      <pivotArea fieldPosition="0">
        <references count="1">
          <reference field="0" count="1">
            <x v="41"/>
          </reference>
        </references>
      </pivotArea>
    </format>
    <format dxfId="597">
      <pivotArea dataOnly="0" labelOnly="1" outline="0" fieldPosition="0">
        <references count="1">
          <reference field="0" count="1">
            <x v="41"/>
          </reference>
        </references>
      </pivotArea>
    </format>
    <format dxfId="596">
      <pivotArea fieldPosition="0">
        <references count="1">
          <reference field="0" count="1">
            <x v="41"/>
          </reference>
        </references>
      </pivotArea>
    </format>
    <format dxfId="595">
      <pivotArea dataOnly="0" labelOnly="1" outline="0" fieldPosition="0">
        <references count="1">
          <reference field="0" count="1">
            <x v="41"/>
          </reference>
        </references>
      </pivotArea>
    </format>
    <format dxfId="594">
      <pivotArea fieldPosition="0">
        <references count="1">
          <reference field="0" count="1">
            <x v="41"/>
          </reference>
        </references>
      </pivotArea>
    </format>
    <format dxfId="593">
      <pivotArea dataOnly="0" labelOnly="1" outline="0" fieldPosition="0">
        <references count="1">
          <reference field="0" count="1">
            <x v="41"/>
          </reference>
        </references>
      </pivotArea>
    </format>
    <format dxfId="592">
      <pivotArea type="all" dataOnly="0" outline="0" fieldPosition="0"/>
    </format>
    <format dxfId="591">
      <pivotArea outline="0" collapsedLevelsAreSubtotals="1" fieldPosition="0"/>
    </format>
    <format dxfId="590">
      <pivotArea field="0" type="button" dataOnly="0" labelOnly="1" outline="0" axis="axisRow" fieldPosition="0"/>
    </format>
    <format dxfId="589">
      <pivotArea dataOnly="0" labelOnly="1" outline="0" fieldPosition="0">
        <references count="1">
          <reference field="0" count="0"/>
        </references>
      </pivotArea>
    </format>
    <format dxfId="588">
      <pivotArea dataOnly="0" labelOnly="1" outline="0" fieldPosition="0">
        <references count="1">
          <reference field="4294967294" count="4">
            <x v="0"/>
            <x v="1"/>
            <x v="2"/>
            <x v="3"/>
          </reference>
        </references>
      </pivotArea>
    </format>
    <format dxfId="587">
      <pivotArea type="all" dataOnly="0" outline="0" fieldPosition="0"/>
    </format>
    <format dxfId="586">
      <pivotArea outline="0" collapsedLevelsAreSubtotals="1" fieldPosition="0"/>
    </format>
    <format dxfId="585">
      <pivotArea field="0" type="button" dataOnly="0" labelOnly="1" outline="0" axis="axisRow" fieldPosition="0"/>
    </format>
    <format dxfId="584">
      <pivotArea dataOnly="0" labelOnly="1" outline="0" fieldPosition="0">
        <references count="1">
          <reference field="0" count="0"/>
        </references>
      </pivotArea>
    </format>
    <format dxfId="583">
      <pivotArea dataOnly="0" labelOnly="1" outline="0" fieldPosition="0">
        <references count="1">
          <reference field="4294967294" count="4">
            <x v="0"/>
            <x v="1"/>
            <x v="2"/>
            <x v="3"/>
          </reference>
        </references>
      </pivotArea>
    </format>
  </formats>
  <chartFormats count="1">
    <chartFormat chart="1" format="3"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Net Profit"/>
    <pivotHierarchy dragToData="1"/>
    <pivotHierarchy dragToData="1"/>
    <pivotHierarchy dragToData="1" caption="Shipping Cost"/>
    <pivotHierarchy dragToData="1"/>
    <pivotHierarchy dragToData="1" caption="All other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6869402-FFF3-47B4-B8EC-F322EEC3B66B}" name="Sales&amp;Profit_PercentageDial" cacheId="14" applyNumberFormats="0" applyBorderFormats="0" applyFontFormats="0" applyPatternFormats="0" applyAlignmentFormats="0" applyWidthHeightFormats="1" dataCaption="Values" tag="9556c826-6062-4dd0-a0dd-c5d2edd943cc" updatedVersion="8" minRefreshableVersion="3" subtotalHiddenItems="1" itemPrintTitles="1" createdVersion="8" indent="0" outline="1" outlineData="1" multipleFieldFilters="0" rowHeaderCaption="Product Sub-Category">
  <location ref="O5:P6"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ales" fld="0" baseField="0" baseItem="0" numFmtId="165"/>
    <dataField name="Sum of Profit" fld="1" baseField="0" baseItem="1" numFmtId="165"/>
  </dataFields>
  <formats count="27">
    <format dxfId="666">
      <pivotArea outline="0" collapsedLevelsAreSubtotals="1" fieldPosition="0">
        <references count="1">
          <reference field="4294967294" count="1" selected="0">
            <x v="0"/>
          </reference>
        </references>
      </pivotArea>
    </format>
    <format dxfId="665">
      <pivotArea outline="0" fieldPosition="0">
        <references count="1">
          <reference field="4294967294" count="1">
            <x v="1"/>
          </reference>
        </references>
      </pivotArea>
    </format>
    <format dxfId="664">
      <pivotArea outline="0" collapsedLevelsAreSubtotals="1" fieldPosition="0">
        <references count="1">
          <reference field="4294967294" count="1" selected="0">
            <x v="1"/>
          </reference>
        </references>
      </pivotArea>
    </format>
    <format dxfId="663">
      <pivotArea type="all" dataOnly="0" outline="0" fieldPosition="0"/>
    </format>
    <format dxfId="662">
      <pivotArea outline="0" collapsedLevelsAreSubtotals="1" fieldPosition="0"/>
    </format>
    <format dxfId="661">
      <pivotArea dataOnly="0" labelOnly="1" outline="0" fieldPosition="0">
        <references count="1">
          <reference field="4294967294" count="2">
            <x v="0"/>
            <x v="1"/>
          </reference>
        </references>
      </pivotArea>
    </format>
    <format dxfId="660">
      <pivotArea type="all" dataOnly="0" outline="0" fieldPosition="0"/>
    </format>
    <format dxfId="659">
      <pivotArea outline="0" collapsedLevelsAreSubtotals="1" fieldPosition="0"/>
    </format>
    <format dxfId="658">
      <pivotArea dataOnly="0" labelOnly="1" outline="0" fieldPosition="0">
        <references count="1">
          <reference field="4294967294" count="2">
            <x v="0"/>
            <x v="1"/>
          </reference>
        </references>
      </pivotArea>
    </format>
    <format dxfId="657">
      <pivotArea type="all" dataOnly="0" outline="0" fieldPosition="0"/>
    </format>
    <format dxfId="656">
      <pivotArea outline="0" collapsedLevelsAreSubtotals="1" fieldPosition="0"/>
    </format>
    <format dxfId="655">
      <pivotArea dataOnly="0" labelOnly="1" outline="0" fieldPosition="0">
        <references count="1">
          <reference field="4294967294" count="2">
            <x v="0"/>
            <x v="1"/>
          </reference>
        </references>
      </pivotArea>
    </format>
    <format dxfId="654">
      <pivotArea type="all" dataOnly="0" outline="0" fieldPosition="0"/>
    </format>
    <format dxfId="653">
      <pivotArea outline="0" collapsedLevelsAreSubtotals="1" fieldPosition="0"/>
    </format>
    <format dxfId="652">
      <pivotArea dataOnly="0" labelOnly="1" outline="0" fieldPosition="0">
        <references count="1">
          <reference field="4294967294" count="2">
            <x v="0"/>
            <x v="1"/>
          </reference>
        </references>
      </pivotArea>
    </format>
    <format dxfId="651">
      <pivotArea type="all" dataOnly="0" outline="0" fieldPosition="0"/>
    </format>
    <format dxfId="650">
      <pivotArea outline="0" collapsedLevelsAreSubtotals="1" fieldPosition="0"/>
    </format>
    <format dxfId="649">
      <pivotArea dataOnly="0" labelOnly="1" outline="0" fieldPosition="0">
        <references count="1">
          <reference field="4294967294" count="2">
            <x v="0"/>
            <x v="1"/>
          </reference>
        </references>
      </pivotArea>
    </format>
    <format dxfId="648">
      <pivotArea type="all" dataOnly="0" outline="0" fieldPosition="0"/>
    </format>
    <format dxfId="647">
      <pivotArea outline="0" collapsedLevelsAreSubtotals="1" fieldPosition="0"/>
    </format>
    <format dxfId="646">
      <pivotArea dataOnly="0" labelOnly="1" outline="0" fieldPosition="0">
        <references count="1">
          <reference field="4294967294" count="2">
            <x v="0"/>
            <x v="1"/>
          </reference>
        </references>
      </pivotArea>
    </format>
    <format dxfId="645">
      <pivotArea type="all" dataOnly="0" outline="0" fieldPosition="0"/>
    </format>
    <format dxfId="644">
      <pivotArea outline="0" collapsedLevelsAreSubtotals="1" fieldPosition="0"/>
    </format>
    <format dxfId="643">
      <pivotArea dataOnly="0" labelOnly="1" outline="0" fieldPosition="0">
        <references count="1">
          <reference field="4294967294" count="2">
            <x v="0"/>
            <x v="1"/>
          </reference>
        </references>
      </pivotArea>
    </format>
    <format dxfId="642">
      <pivotArea type="all" dataOnly="0" outline="0" fieldPosition="0"/>
    </format>
    <format dxfId="641">
      <pivotArea outline="0" collapsedLevelsAreSubtotals="1" fieldPosition="0"/>
    </format>
    <format dxfId="640">
      <pivotArea dataOnly="0" labelOnly="1" outline="0" fieldPosition="0">
        <references count="1">
          <reference field="4294967294" count="2">
            <x v="0"/>
            <x v="1"/>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80FE4D-2952-476E-88D3-1447A4C6C1F6}" name="Sales&amp;Profit_TrendChart" cacheId="15" applyNumberFormats="0" applyBorderFormats="0" applyFontFormats="0" applyPatternFormats="0" applyAlignmentFormats="0" applyWidthHeightFormats="1" dataCaption="Values" tag="1d4d7696-950e-4903-8328-d6013be8c5ae" updatedVersion="8" minRefreshableVersion="3" subtotalHiddenItems="1" itemPrintTitles="1" createdVersion="8" indent="0" outline="1" outlineData="1" multipleFieldFilters="0" chartFormat="22" rowHeaderCaption="Product Sub-Category">
  <location ref="B27:D34" firstHeaderRow="0" firstDataRow="1"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t="grand">
      <x/>
    </i>
  </rowItems>
  <colFields count="1">
    <field x="-2"/>
  </colFields>
  <colItems count="2">
    <i>
      <x/>
    </i>
    <i i="1">
      <x v="1"/>
    </i>
  </colItems>
  <dataFields count="2">
    <dataField name="Sales" fld="0" baseField="0" baseItem="0" numFmtId="165"/>
    <dataField name="Sum of Sales" fld="3" baseField="0" baseItem="0" numFmtId="165">
      <extLst>
        <ext xmlns:x14="http://schemas.microsoft.com/office/spreadsheetml/2009/9/main" uri="{E15A36E0-9728-4e99-A89B-3F7291B0FE68}">
          <x14:dataField sourceField="0" uniqueName="[__Xl2].[Measures].[Sum of Sales]"/>
        </ext>
      </extLst>
    </dataField>
  </dataFields>
  <formats count="50">
    <format dxfId="716">
      <pivotArea outline="0" collapsedLevelsAreSubtotals="1" fieldPosition="0">
        <references count="1">
          <reference field="4294967294" count="1" selected="0">
            <x v="0"/>
          </reference>
        </references>
      </pivotArea>
    </format>
    <format dxfId="715">
      <pivotArea outline="0" collapsedLevelsAreSubtotals="1" fieldPosition="0">
        <references count="1">
          <reference field="4294967294" count="1" selected="0">
            <x v="1"/>
          </reference>
        </references>
      </pivotArea>
    </format>
    <format dxfId="714">
      <pivotArea type="all" dataOnly="0" outline="0" fieldPosition="0"/>
    </format>
    <format dxfId="713">
      <pivotArea outline="0" collapsedLevelsAreSubtotals="1" fieldPosition="0"/>
    </format>
    <format dxfId="712">
      <pivotArea field="1" type="button" dataOnly="0" labelOnly="1" outline="0" axis="axisRow" fieldPosition="0"/>
    </format>
    <format dxfId="711">
      <pivotArea dataOnly="0" labelOnly="1" fieldPosition="0">
        <references count="1">
          <reference field="1" count="0"/>
        </references>
      </pivotArea>
    </format>
    <format dxfId="710">
      <pivotArea dataOnly="0" labelOnly="1" grandRow="1" outline="0" fieldPosition="0"/>
    </format>
    <format dxfId="709">
      <pivotArea dataOnly="0" labelOnly="1" outline="0" fieldPosition="0">
        <references count="1">
          <reference field="4294967294" count="2">
            <x v="0"/>
            <x v="1"/>
          </reference>
        </references>
      </pivotArea>
    </format>
    <format dxfId="708">
      <pivotArea type="all" dataOnly="0" outline="0" fieldPosition="0"/>
    </format>
    <format dxfId="707">
      <pivotArea outline="0" collapsedLevelsAreSubtotals="1" fieldPosition="0"/>
    </format>
    <format dxfId="706">
      <pivotArea field="1" type="button" dataOnly="0" labelOnly="1" outline="0" axis="axisRow" fieldPosition="0"/>
    </format>
    <format dxfId="705">
      <pivotArea dataOnly="0" labelOnly="1" fieldPosition="0">
        <references count="1">
          <reference field="1" count="0"/>
        </references>
      </pivotArea>
    </format>
    <format dxfId="704">
      <pivotArea dataOnly="0" labelOnly="1" grandRow="1" outline="0" fieldPosition="0"/>
    </format>
    <format dxfId="703">
      <pivotArea dataOnly="0" labelOnly="1" outline="0" fieldPosition="0">
        <references count="1">
          <reference field="4294967294" count="2">
            <x v="0"/>
            <x v="1"/>
          </reference>
        </references>
      </pivotArea>
    </format>
    <format dxfId="702">
      <pivotArea type="all" dataOnly="0" outline="0" fieldPosition="0"/>
    </format>
    <format dxfId="701">
      <pivotArea outline="0" collapsedLevelsAreSubtotals="1" fieldPosition="0"/>
    </format>
    <format dxfId="700">
      <pivotArea field="1" type="button" dataOnly="0" labelOnly="1" outline="0" axis="axisRow" fieldPosition="0"/>
    </format>
    <format dxfId="699">
      <pivotArea dataOnly="0" labelOnly="1" fieldPosition="0">
        <references count="1">
          <reference field="1" count="0"/>
        </references>
      </pivotArea>
    </format>
    <format dxfId="698">
      <pivotArea dataOnly="0" labelOnly="1" grandRow="1" outline="0" fieldPosition="0"/>
    </format>
    <format dxfId="697">
      <pivotArea dataOnly="0" labelOnly="1" outline="0" fieldPosition="0">
        <references count="1">
          <reference field="4294967294" count="2">
            <x v="0"/>
            <x v="1"/>
          </reference>
        </references>
      </pivotArea>
    </format>
    <format dxfId="696">
      <pivotArea type="all" dataOnly="0" outline="0" fieldPosition="0"/>
    </format>
    <format dxfId="695">
      <pivotArea outline="0" collapsedLevelsAreSubtotals="1" fieldPosition="0"/>
    </format>
    <format dxfId="694">
      <pivotArea field="1" type="button" dataOnly="0" labelOnly="1" outline="0" axis="axisRow" fieldPosition="0"/>
    </format>
    <format dxfId="693">
      <pivotArea dataOnly="0" labelOnly="1" fieldPosition="0">
        <references count="1">
          <reference field="1" count="1">
            <x v="1"/>
          </reference>
        </references>
      </pivotArea>
    </format>
    <format dxfId="692">
      <pivotArea dataOnly="0" labelOnly="1" grandRow="1" outline="0" fieldPosition="0"/>
    </format>
    <format dxfId="691">
      <pivotArea dataOnly="0" labelOnly="1" outline="0" fieldPosition="0">
        <references count="1">
          <reference field="4294967294" count="2">
            <x v="0"/>
            <x v="1"/>
          </reference>
        </references>
      </pivotArea>
    </format>
    <format dxfId="690">
      <pivotArea type="all" dataOnly="0" outline="0" fieldPosition="0"/>
    </format>
    <format dxfId="689">
      <pivotArea outline="0" collapsedLevelsAreSubtotals="1" fieldPosition="0"/>
    </format>
    <format dxfId="688">
      <pivotArea field="1" type="button" dataOnly="0" labelOnly="1" outline="0" axis="axisRow" fieldPosition="0"/>
    </format>
    <format dxfId="687">
      <pivotArea dataOnly="0" labelOnly="1" fieldPosition="0">
        <references count="1">
          <reference field="1" count="0"/>
        </references>
      </pivotArea>
    </format>
    <format dxfId="686">
      <pivotArea dataOnly="0" labelOnly="1" grandRow="1" outline="0" fieldPosition="0"/>
    </format>
    <format dxfId="685">
      <pivotArea dataOnly="0" labelOnly="1" outline="0" fieldPosition="0">
        <references count="1">
          <reference field="4294967294" count="2">
            <x v="0"/>
            <x v="1"/>
          </reference>
        </references>
      </pivotArea>
    </format>
    <format dxfId="684">
      <pivotArea type="all" dataOnly="0" outline="0" fieldPosition="0"/>
    </format>
    <format dxfId="683">
      <pivotArea outline="0" collapsedLevelsAreSubtotals="1" fieldPosition="0"/>
    </format>
    <format dxfId="682">
      <pivotArea field="1" type="button" dataOnly="0" labelOnly="1" outline="0" axis="axisRow" fieldPosition="0"/>
    </format>
    <format dxfId="681">
      <pivotArea dataOnly="0" labelOnly="1" fieldPosition="0">
        <references count="1">
          <reference field="1" count="0"/>
        </references>
      </pivotArea>
    </format>
    <format dxfId="680">
      <pivotArea dataOnly="0" labelOnly="1" grandRow="1" outline="0" fieldPosition="0"/>
    </format>
    <format dxfId="679">
      <pivotArea dataOnly="0" labelOnly="1" outline="0" fieldPosition="0">
        <references count="1">
          <reference field="4294967294" count="2">
            <x v="0"/>
            <x v="1"/>
          </reference>
        </references>
      </pivotArea>
    </format>
    <format dxfId="678">
      <pivotArea type="all" dataOnly="0" outline="0" fieldPosition="0"/>
    </format>
    <format dxfId="677">
      <pivotArea outline="0" collapsedLevelsAreSubtotals="1" fieldPosition="0"/>
    </format>
    <format dxfId="676">
      <pivotArea field="1" type="button" dataOnly="0" labelOnly="1" outline="0" axis="axisRow" fieldPosition="0"/>
    </format>
    <format dxfId="675">
      <pivotArea dataOnly="0" labelOnly="1" fieldPosition="0">
        <references count="1">
          <reference field="1" count="0"/>
        </references>
      </pivotArea>
    </format>
    <format dxfId="674">
      <pivotArea dataOnly="0" labelOnly="1" grandRow="1" outline="0" fieldPosition="0"/>
    </format>
    <format dxfId="673">
      <pivotArea dataOnly="0" labelOnly="1" outline="0" fieldPosition="0">
        <references count="1">
          <reference field="4294967294" count="2">
            <x v="0"/>
            <x v="1"/>
          </reference>
        </references>
      </pivotArea>
    </format>
    <format dxfId="672">
      <pivotArea type="all" dataOnly="0" outline="0" fieldPosition="0"/>
    </format>
    <format dxfId="671">
      <pivotArea outline="0" collapsedLevelsAreSubtotals="1" fieldPosition="0"/>
    </format>
    <format dxfId="670">
      <pivotArea field="1" type="button" dataOnly="0" labelOnly="1" outline="0" axis="axisRow" fieldPosition="0"/>
    </format>
    <format dxfId="669">
      <pivotArea dataOnly="0" labelOnly="1" fieldPosition="0">
        <references count="1">
          <reference field="1" count="0"/>
        </references>
      </pivotArea>
    </format>
    <format dxfId="668">
      <pivotArea dataOnly="0" labelOnly="1" grandRow="1" outline="0" fieldPosition="0"/>
    </format>
    <format dxfId="667">
      <pivotArea dataOnly="0" labelOnly="1" outline="0" fieldPosition="0">
        <references count="1">
          <reference field="4294967294" count="2">
            <x v="0"/>
            <x v="1"/>
          </reference>
        </references>
      </pivotArea>
    </format>
  </formats>
  <chartFormats count="3">
    <chartFormat chart="18" format="4" series="1">
      <pivotArea type="data" outline="0" fieldPosition="0">
        <references count="1">
          <reference field="4294967294" count="1" selected="0">
            <x v="1"/>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1" count="1" selected="0">
            <x v="5"/>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FCBC6E0-7525-4F63-A10E-6DE45643108C}" name="Trends_Matrix" cacheId="3" applyNumberFormats="0" applyBorderFormats="0" applyFontFormats="0" applyPatternFormats="0" applyAlignmentFormats="0" applyWidthHeightFormats="1" dataCaption="Values" tag="ec139f71-885b-466c-bd3d-d23636a86eae" updatedVersion="8" minRefreshableVersion="3" subtotalHiddenItems="1" rowGrandTotals="0" itemPrintTitles="1" createdVersion="8" indent="0" outline="1" outlineData="1" multipleFieldFilters="0">
  <location ref="AU26:AX43" firstHeaderRow="0" firstDataRow="1" firstDataCol="1"/>
  <pivotFields count="5">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Sales" fld="1" baseField="0" baseItem="0"/>
    <dataField name="Profit" fld="2" baseField="0" baseItem="0"/>
    <dataField name="Sold Quantity" fld="3" baseField="0" baseItem="0"/>
  </dataFields>
  <formats count="44">
    <format dxfId="760">
      <pivotArea type="all" dataOnly="0" outline="0" fieldPosition="0"/>
    </format>
    <format dxfId="759">
      <pivotArea outline="0" collapsedLevelsAreSubtotals="1" fieldPosition="0"/>
    </format>
    <format dxfId="758">
      <pivotArea field="0" type="button" dataOnly="0" labelOnly="1" outline="0" axis="axisRow" fieldPosition="0"/>
    </format>
    <format dxfId="757">
      <pivotArea dataOnly="0" labelOnly="1" fieldPosition="0">
        <references count="1">
          <reference field="0" count="0"/>
        </references>
      </pivotArea>
    </format>
    <format dxfId="756">
      <pivotArea dataOnly="0" labelOnly="1" grandRow="1" outline="0" fieldPosition="0"/>
    </format>
    <format dxfId="755">
      <pivotArea dataOnly="0" labelOnly="1" outline="0" fieldPosition="0">
        <references count="1">
          <reference field="4294967294" count="3">
            <x v="0"/>
            <x v="1"/>
            <x v="2"/>
          </reference>
        </references>
      </pivotArea>
    </format>
    <format dxfId="754">
      <pivotArea type="all" dataOnly="0" outline="0" fieldPosition="0"/>
    </format>
    <format dxfId="753">
      <pivotArea outline="0" collapsedLevelsAreSubtotals="1" fieldPosition="0"/>
    </format>
    <format dxfId="752">
      <pivotArea field="0" type="button" dataOnly="0" labelOnly="1" outline="0" axis="axisRow" fieldPosition="0"/>
    </format>
    <format dxfId="751">
      <pivotArea dataOnly="0" labelOnly="1" fieldPosition="0">
        <references count="1">
          <reference field="0" count="0"/>
        </references>
      </pivotArea>
    </format>
    <format dxfId="750">
      <pivotArea dataOnly="0" labelOnly="1" grandRow="1" outline="0" fieldPosition="0"/>
    </format>
    <format dxfId="749">
      <pivotArea dataOnly="0" labelOnly="1" outline="0" fieldPosition="0">
        <references count="1">
          <reference field="4294967294" count="3">
            <x v="0"/>
            <x v="1"/>
            <x v="2"/>
          </reference>
        </references>
      </pivotArea>
    </format>
    <format dxfId="748">
      <pivotArea outline="0" collapsedLevelsAreSubtotals="1" fieldPosition="0"/>
    </format>
    <format dxfId="747">
      <pivotArea dataOnly="0" labelOnly="1" outline="0" fieldPosition="0">
        <references count="1">
          <reference field="4294967294" count="3">
            <x v="0"/>
            <x v="1"/>
            <x v="2"/>
          </reference>
        </references>
      </pivotArea>
    </format>
    <format dxfId="746">
      <pivotArea type="all" dataOnly="0" outline="0" fieldPosition="0"/>
    </format>
    <format dxfId="745">
      <pivotArea outline="0" collapsedLevelsAreSubtotals="1" fieldPosition="0"/>
    </format>
    <format dxfId="744">
      <pivotArea field="0" type="button" dataOnly="0" labelOnly="1" outline="0" axis="axisRow" fieldPosition="0"/>
    </format>
    <format dxfId="743">
      <pivotArea dataOnly="0" labelOnly="1" fieldPosition="0">
        <references count="1">
          <reference field="0" count="0"/>
        </references>
      </pivotArea>
    </format>
    <format dxfId="742">
      <pivotArea dataOnly="0" labelOnly="1" outline="0" fieldPosition="0">
        <references count="1">
          <reference field="4294967294" count="3">
            <x v="0"/>
            <x v="1"/>
            <x v="2"/>
          </reference>
        </references>
      </pivotArea>
    </format>
    <format dxfId="741">
      <pivotArea type="all" dataOnly="0" outline="0" fieldPosition="0"/>
    </format>
    <format dxfId="740">
      <pivotArea outline="0" collapsedLevelsAreSubtotals="1" fieldPosition="0"/>
    </format>
    <format dxfId="739">
      <pivotArea field="0" type="button" dataOnly="0" labelOnly="1" outline="0" axis="axisRow" fieldPosition="0"/>
    </format>
    <format dxfId="738">
      <pivotArea dataOnly="0" labelOnly="1" fieldPosition="0">
        <references count="1">
          <reference field="0" count="0"/>
        </references>
      </pivotArea>
    </format>
    <format dxfId="737">
      <pivotArea dataOnly="0" labelOnly="1" outline="0" fieldPosition="0">
        <references count="1">
          <reference field="4294967294" count="3">
            <x v="0"/>
            <x v="1"/>
            <x v="2"/>
          </reference>
        </references>
      </pivotArea>
    </format>
    <format dxfId="736">
      <pivotArea type="all" dataOnly="0" outline="0" fieldPosition="0"/>
    </format>
    <format dxfId="735">
      <pivotArea outline="0" collapsedLevelsAreSubtotals="1" fieldPosition="0"/>
    </format>
    <format dxfId="734">
      <pivotArea field="0" type="button" dataOnly="0" labelOnly="1" outline="0" axis="axisRow" fieldPosition="0"/>
    </format>
    <format dxfId="733">
      <pivotArea dataOnly="0" labelOnly="1" fieldPosition="0">
        <references count="1">
          <reference field="0" count="0"/>
        </references>
      </pivotArea>
    </format>
    <format dxfId="732">
      <pivotArea dataOnly="0" labelOnly="1" outline="0" fieldPosition="0">
        <references count="1">
          <reference field="4294967294" count="3">
            <x v="0"/>
            <x v="1"/>
            <x v="2"/>
          </reference>
        </references>
      </pivotArea>
    </format>
    <format dxfId="731">
      <pivotArea type="all" dataOnly="0" outline="0" fieldPosition="0"/>
    </format>
    <format dxfId="730">
      <pivotArea outline="0" collapsedLevelsAreSubtotals="1" fieldPosition="0"/>
    </format>
    <format dxfId="729">
      <pivotArea field="0" type="button" dataOnly="0" labelOnly="1" outline="0" axis="axisRow" fieldPosition="0"/>
    </format>
    <format dxfId="728">
      <pivotArea dataOnly="0" labelOnly="1" fieldPosition="0">
        <references count="1">
          <reference field="0" count="0"/>
        </references>
      </pivotArea>
    </format>
    <format dxfId="727">
      <pivotArea dataOnly="0" labelOnly="1" outline="0" fieldPosition="0">
        <references count="1">
          <reference field="4294967294" count="3">
            <x v="0"/>
            <x v="1"/>
            <x v="2"/>
          </reference>
        </references>
      </pivotArea>
    </format>
    <format dxfId="726">
      <pivotArea type="all" dataOnly="0" outline="0" fieldPosition="0"/>
    </format>
    <format dxfId="725">
      <pivotArea outline="0" collapsedLevelsAreSubtotals="1" fieldPosition="0"/>
    </format>
    <format dxfId="724">
      <pivotArea field="0" type="button" dataOnly="0" labelOnly="1" outline="0" axis="axisRow" fieldPosition="0"/>
    </format>
    <format dxfId="723">
      <pivotArea dataOnly="0" labelOnly="1" fieldPosition="0">
        <references count="1">
          <reference field="0" count="0"/>
        </references>
      </pivotArea>
    </format>
    <format dxfId="722">
      <pivotArea dataOnly="0" labelOnly="1" outline="0" fieldPosition="0">
        <references count="1">
          <reference field="4294967294" count="3">
            <x v="0"/>
            <x v="1"/>
            <x v="2"/>
          </reference>
        </references>
      </pivotArea>
    </format>
    <format dxfId="721">
      <pivotArea type="all" dataOnly="0" outline="0" fieldPosition="0"/>
    </format>
    <format dxfId="720">
      <pivotArea outline="0" collapsedLevelsAreSubtotals="1" fieldPosition="0"/>
    </format>
    <format dxfId="719">
      <pivotArea field="0" type="button" dataOnly="0" labelOnly="1" outline="0" axis="axisRow" fieldPosition="0"/>
    </format>
    <format dxfId="718">
      <pivotArea dataOnly="0" labelOnly="1" fieldPosition="0">
        <references count="1">
          <reference field="0" count="0"/>
        </references>
      </pivotArea>
    </format>
    <format dxfId="717">
      <pivotArea dataOnly="0" labelOnly="1" outline="0" fieldPosition="0">
        <references count="1">
          <reference field="4294967294" count="3">
            <x v="0"/>
            <x v="1"/>
            <x v="2"/>
          </reference>
        </references>
      </pivotArea>
    </format>
  </formats>
  <pivotHierarchies count="53">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6501407-6B17-42C2-80D6-1F65C13DCF89}" name="Trends_Bars" cacheId="2" dataPosition="0" applyNumberFormats="0" applyBorderFormats="0" applyFontFormats="0" applyPatternFormats="0" applyAlignmentFormats="0" applyWidthHeightFormats="1" dataCaption="Values" tag="80b40262-5a40-44f3-a5d2-0f56f1ef2939" updatedVersion="8" minRefreshableVersion="3" subtotalHiddenItems="1" rowGrandTotals="0" itemPrintTitles="1" createdVersion="8" indent="0" compact="0" compactData="0" gridDropZones="1" multipleFieldFilters="0" chartFormat="10" rowHeaderCaption="Month/Date">
  <location ref="AU5:AX10" firstHeaderRow="1" firstDataRow="2"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Sales" fld="0" baseField="0" baseItem="0"/>
    <dataField name="Profit" fld="1" baseField="0" baseItem="0"/>
    <dataField name="Quantity" fld="2" baseField="0" baseItem="0"/>
  </dataFields>
  <formats count="94">
    <format dxfId="854">
      <pivotArea type="all" dataOnly="0" outline="0" fieldPosition="0"/>
    </format>
    <format dxfId="853">
      <pivotArea outline="0" collapsedLevelsAreSubtotals="1" fieldPosition="0"/>
    </format>
    <format dxfId="852">
      <pivotArea type="origin" dataOnly="0" labelOnly="1" outline="0" fieldPosition="0"/>
    </format>
    <format dxfId="851">
      <pivotArea field="-2" type="button" dataOnly="0" labelOnly="1" outline="0" axis="axisCol" fieldPosition="0"/>
    </format>
    <format dxfId="850">
      <pivotArea type="topRight" dataOnly="0" labelOnly="1" outline="0" fieldPosition="0"/>
    </format>
    <format dxfId="849">
      <pivotArea dataOnly="0" labelOnly="1" grandRow="1" outline="0" fieldPosition="0"/>
    </format>
    <format dxfId="848">
      <pivotArea dataOnly="0" labelOnly="1" outline="0" fieldPosition="0">
        <references count="1">
          <reference field="4294967294" count="3">
            <x v="0"/>
            <x v="1"/>
            <x v="2"/>
          </reference>
        </references>
      </pivotArea>
    </format>
    <format dxfId="847">
      <pivotArea type="all" dataOnly="0" outline="0" fieldPosition="0"/>
    </format>
    <format dxfId="846">
      <pivotArea outline="0" collapsedLevelsAreSubtotals="1" fieldPosition="0"/>
    </format>
    <format dxfId="845">
      <pivotArea type="origin" dataOnly="0" labelOnly="1" outline="0" fieldPosition="0"/>
    </format>
    <format dxfId="844">
      <pivotArea field="-2" type="button" dataOnly="0" labelOnly="1" outline="0" axis="axisCol" fieldPosition="0"/>
    </format>
    <format dxfId="843">
      <pivotArea type="topRight" dataOnly="0" labelOnly="1" outline="0" fieldPosition="0"/>
    </format>
    <format dxfId="842">
      <pivotArea dataOnly="0" labelOnly="1" grandRow="1" outline="0" fieldPosition="0"/>
    </format>
    <format dxfId="841">
      <pivotArea dataOnly="0" labelOnly="1" outline="0" fieldPosition="0">
        <references count="1">
          <reference field="4294967294" count="3">
            <x v="0"/>
            <x v="1"/>
            <x v="2"/>
          </reference>
        </references>
      </pivotArea>
    </format>
    <format dxfId="840">
      <pivotArea type="all" dataOnly="0" outline="0" fieldPosition="0"/>
    </format>
    <format dxfId="839">
      <pivotArea outline="0" collapsedLevelsAreSubtotals="1" fieldPosition="0"/>
    </format>
    <format dxfId="838">
      <pivotArea field="-2" type="button" dataOnly="0" labelOnly="1" outline="0" axis="axisCol" fieldPosition="0"/>
    </format>
    <format dxfId="837">
      <pivotArea type="topRight" dataOnly="0" labelOnly="1" outline="0" fieldPosition="0"/>
    </format>
    <format dxfId="836">
      <pivotArea dataOnly="0" labelOnly="1" grandRow="1" outline="0" fieldPosition="0"/>
    </format>
    <format dxfId="835">
      <pivotArea dataOnly="0" labelOnly="1" outline="0" fieldPosition="0">
        <references count="1">
          <reference field="4294967294" count="3">
            <x v="0"/>
            <x v="1"/>
            <x v="2"/>
          </reference>
        </references>
      </pivotArea>
    </format>
    <format dxfId="834">
      <pivotArea outline="0" collapsedLevelsAreSubtotals="1" fieldPosition="0"/>
    </format>
    <format dxfId="833">
      <pivotArea field="-2" type="button" dataOnly="0" labelOnly="1" outline="0" axis="axisCol" fieldPosition="0"/>
    </format>
    <format dxfId="832">
      <pivotArea type="topRight" dataOnly="0" labelOnly="1" outline="0" fieldPosition="0"/>
    </format>
    <format dxfId="831">
      <pivotArea dataOnly="0" labelOnly="1" outline="0" fieldPosition="0">
        <references count="1">
          <reference field="4294967294" count="3">
            <x v="0"/>
            <x v="1"/>
            <x v="2"/>
          </reference>
        </references>
      </pivotArea>
    </format>
    <format dxfId="830">
      <pivotArea type="all" dataOnly="0" outline="0" fieldPosition="0"/>
    </format>
    <format dxfId="829">
      <pivotArea outline="0" collapsedLevelsAreSubtotals="1" fieldPosition="0"/>
    </format>
    <format dxfId="828">
      <pivotArea type="origin" dataOnly="0" labelOnly="1" outline="0" fieldPosition="0"/>
    </format>
    <format dxfId="827">
      <pivotArea field="-2" type="button" dataOnly="0" labelOnly="1" outline="0" axis="axisCol" fieldPosition="0"/>
    </format>
    <format dxfId="826">
      <pivotArea type="topRight" dataOnly="0" labelOnly="1" outline="0" fieldPosition="0"/>
    </format>
    <format dxfId="825">
      <pivotArea dataOnly="0" labelOnly="1" outline="0" fieldPosition="0">
        <references count="1">
          <reference field="4294967294" count="3">
            <x v="0"/>
            <x v="1"/>
            <x v="2"/>
          </reference>
        </references>
      </pivotArea>
    </format>
    <format dxfId="824">
      <pivotArea type="all" dataOnly="0" outline="0" fieldPosition="0"/>
    </format>
    <format dxfId="823">
      <pivotArea outline="0" collapsedLevelsAreSubtotals="1" fieldPosition="0"/>
    </format>
    <format dxfId="822">
      <pivotArea type="origin" dataOnly="0" labelOnly="1" outline="0" fieldPosition="0"/>
    </format>
    <format dxfId="821">
      <pivotArea field="-2" type="button" dataOnly="0" labelOnly="1" outline="0" axis="axisCol" fieldPosition="0"/>
    </format>
    <format dxfId="820">
      <pivotArea type="topRight" dataOnly="0" labelOnly="1" outline="0" fieldPosition="0"/>
    </format>
    <format dxfId="819">
      <pivotArea field="3" type="button" dataOnly="0" labelOnly="1" outline="0" axis="axisRow" fieldPosition="0"/>
    </format>
    <format dxfId="818">
      <pivotArea dataOnly="0" labelOnly="1" outline="0" fieldPosition="0">
        <references count="1">
          <reference field="3" count="0"/>
        </references>
      </pivotArea>
    </format>
    <format dxfId="817">
      <pivotArea dataOnly="0" labelOnly="1" outline="0" fieldPosition="0">
        <references count="1">
          <reference field="4294967294" count="3">
            <x v="0"/>
            <x v="1"/>
            <x v="2"/>
          </reference>
        </references>
      </pivotArea>
    </format>
    <format dxfId="816">
      <pivotArea type="all" dataOnly="0" outline="0" fieldPosition="0"/>
    </format>
    <format dxfId="815">
      <pivotArea outline="0" collapsedLevelsAreSubtotals="1" fieldPosition="0"/>
    </format>
    <format dxfId="814">
      <pivotArea type="origin" dataOnly="0" labelOnly="1" outline="0" fieldPosition="0"/>
    </format>
    <format dxfId="813">
      <pivotArea field="-2" type="button" dataOnly="0" labelOnly="1" outline="0" axis="axisCol" fieldPosition="0"/>
    </format>
    <format dxfId="812">
      <pivotArea type="topRight" dataOnly="0" labelOnly="1" outline="0" fieldPosition="0"/>
    </format>
    <format dxfId="811">
      <pivotArea field="3" type="button" dataOnly="0" labelOnly="1" outline="0" axis="axisRow" fieldPosition="0"/>
    </format>
    <format dxfId="810">
      <pivotArea dataOnly="0" labelOnly="1" outline="0" fieldPosition="0">
        <references count="1">
          <reference field="3" count="0"/>
        </references>
      </pivotArea>
    </format>
    <format dxfId="809">
      <pivotArea dataOnly="0" labelOnly="1" outline="0" fieldPosition="0">
        <references count="1">
          <reference field="4294967294" count="3">
            <x v="0"/>
            <x v="1"/>
            <x v="2"/>
          </reference>
        </references>
      </pivotArea>
    </format>
    <format dxfId="808">
      <pivotArea type="all" dataOnly="0" outline="0" fieldPosition="0"/>
    </format>
    <format dxfId="807">
      <pivotArea outline="0" collapsedLevelsAreSubtotals="1" fieldPosition="0"/>
    </format>
    <format dxfId="806">
      <pivotArea type="origin" dataOnly="0" labelOnly="1" outline="0" fieldPosition="0"/>
    </format>
    <format dxfId="805">
      <pivotArea field="-2" type="button" dataOnly="0" labelOnly="1" outline="0" axis="axisCol" fieldPosition="0"/>
    </format>
    <format dxfId="804">
      <pivotArea type="topRight" dataOnly="0" labelOnly="1" outline="0" fieldPosition="0"/>
    </format>
    <format dxfId="803">
      <pivotArea field="3" type="button" dataOnly="0" labelOnly="1" outline="0" axis="axisRow" fieldPosition="0"/>
    </format>
    <format dxfId="802">
      <pivotArea dataOnly="0" labelOnly="1" outline="0" fieldPosition="0">
        <references count="1">
          <reference field="3" count="0"/>
        </references>
      </pivotArea>
    </format>
    <format dxfId="801">
      <pivotArea dataOnly="0" labelOnly="1" outline="0" fieldPosition="0">
        <references count="1">
          <reference field="4294967294" count="3">
            <x v="0"/>
            <x v="1"/>
            <x v="2"/>
          </reference>
        </references>
      </pivotArea>
    </format>
    <format dxfId="800">
      <pivotArea type="all" dataOnly="0" outline="0" fieldPosition="0"/>
    </format>
    <format dxfId="799">
      <pivotArea outline="0" collapsedLevelsAreSubtotals="1" fieldPosition="0"/>
    </format>
    <format dxfId="798">
      <pivotArea type="origin" dataOnly="0" labelOnly="1" outline="0" fieldPosition="0"/>
    </format>
    <format dxfId="797">
      <pivotArea field="-2" type="button" dataOnly="0" labelOnly="1" outline="0" axis="axisCol" fieldPosition="0"/>
    </format>
    <format dxfId="796">
      <pivotArea type="topRight" dataOnly="0" labelOnly="1" outline="0" fieldPosition="0"/>
    </format>
    <format dxfId="795">
      <pivotArea field="3" type="button" dataOnly="0" labelOnly="1" outline="0" axis="axisRow" fieldPosition="0"/>
    </format>
    <format dxfId="794">
      <pivotArea dataOnly="0" labelOnly="1" outline="0" fieldPosition="0">
        <references count="1">
          <reference field="3" count="0"/>
        </references>
      </pivotArea>
    </format>
    <format dxfId="793">
      <pivotArea dataOnly="0" labelOnly="1" outline="0" fieldPosition="0">
        <references count="1">
          <reference field="4294967294" count="3">
            <x v="0"/>
            <x v="1"/>
            <x v="2"/>
          </reference>
        </references>
      </pivotArea>
    </format>
    <format dxfId="792">
      <pivotArea type="all" dataOnly="0" outline="0" fieldPosition="0"/>
    </format>
    <format dxfId="791">
      <pivotArea outline="0" collapsedLevelsAreSubtotals="1" fieldPosition="0"/>
    </format>
    <format dxfId="790">
      <pivotArea type="origin" dataOnly="0" labelOnly="1" outline="0" fieldPosition="0"/>
    </format>
    <format dxfId="789">
      <pivotArea field="-2" type="button" dataOnly="0" labelOnly="1" outline="0" axis="axisCol" fieldPosition="0"/>
    </format>
    <format dxfId="788">
      <pivotArea type="topRight" dataOnly="0" labelOnly="1" outline="0" fieldPosition="0"/>
    </format>
    <format dxfId="787">
      <pivotArea field="3" type="button" dataOnly="0" labelOnly="1" outline="0" axis="axisRow" fieldPosition="0"/>
    </format>
    <format dxfId="786">
      <pivotArea dataOnly="0" labelOnly="1" outline="0" fieldPosition="0">
        <references count="1">
          <reference field="3" count="0"/>
        </references>
      </pivotArea>
    </format>
    <format dxfId="785">
      <pivotArea dataOnly="0" labelOnly="1" outline="0" fieldPosition="0">
        <references count="1">
          <reference field="4294967294" count="3">
            <x v="0"/>
            <x v="1"/>
            <x v="2"/>
          </reference>
        </references>
      </pivotArea>
    </format>
    <format dxfId="784">
      <pivotArea type="all" dataOnly="0" outline="0" fieldPosition="0"/>
    </format>
    <format dxfId="783">
      <pivotArea outline="0" collapsedLevelsAreSubtotals="1" fieldPosition="0"/>
    </format>
    <format dxfId="782">
      <pivotArea type="origin" dataOnly="0" labelOnly="1" outline="0" fieldPosition="0"/>
    </format>
    <format dxfId="781">
      <pivotArea field="-2" type="button" dataOnly="0" labelOnly="1" outline="0" axis="axisCol" fieldPosition="0"/>
    </format>
    <format dxfId="780">
      <pivotArea type="topRight" dataOnly="0" labelOnly="1" outline="0" fieldPosition="0"/>
    </format>
    <format dxfId="779">
      <pivotArea field="3" type="button" dataOnly="0" labelOnly="1" outline="0" axis="axisRow" fieldPosition="0"/>
    </format>
    <format dxfId="778">
      <pivotArea dataOnly="0" labelOnly="1" outline="0" fieldPosition="0">
        <references count="1">
          <reference field="3" count="0"/>
        </references>
      </pivotArea>
    </format>
    <format dxfId="777">
      <pivotArea dataOnly="0" labelOnly="1" outline="0" fieldPosition="0">
        <references count="1">
          <reference field="4294967294" count="3">
            <x v="0"/>
            <x v="1"/>
            <x v="2"/>
          </reference>
        </references>
      </pivotArea>
    </format>
    <format dxfId="776">
      <pivotArea type="all" dataOnly="0" outline="0" fieldPosition="0"/>
    </format>
    <format dxfId="775">
      <pivotArea outline="0" collapsedLevelsAreSubtotals="1" fieldPosition="0"/>
    </format>
    <format dxfId="774">
      <pivotArea type="origin" dataOnly="0" labelOnly="1" outline="0" fieldPosition="0"/>
    </format>
    <format dxfId="773">
      <pivotArea field="-2" type="button" dataOnly="0" labelOnly="1" outline="0" axis="axisCol" fieldPosition="0"/>
    </format>
    <format dxfId="772">
      <pivotArea type="topRight" dataOnly="0" labelOnly="1" outline="0" fieldPosition="0"/>
    </format>
    <format dxfId="771">
      <pivotArea field="3" type="button" dataOnly="0" labelOnly="1" outline="0" axis="axisRow" fieldPosition="0"/>
    </format>
    <format dxfId="770">
      <pivotArea dataOnly="0" labelOnly="1" outline="0" fieldPosition="0">
        <references count="1">
          <reference field="3" count="0"/>
        </references>
      </pivotArea>
    </format>
    <format dxfId="769">
      <pivotArea dataOnly="0" labelOnly="1" outline="0" fieldPosition="0">
        <references count="1">
          <reference field="4294967294" count="3">
            <x v="0"/>
            <x v="1"/>
            <x v="2"/>
          </reference>
        </references>
      </pivotArea>
    </format>
    <format dxfId="768">
      <pivotArea type="all" dataOnly="0" outline="0" fieldPosition="0"/>
    </format>
    <format dxfId="767">
      <pivotArea outline="0" collapsedLevelsAreSubtotals="1" fieldPosition="0"/>
    </format>
    <format dxfId="766">
      <pivotArea type="origin" dataOnly="0" labelOnly="1" outline="0" fieldPosition="0"/>
    </format>
    <format dxfId="765">
      <pivotArea field="-2" type="button" dataOnly="0" labelOnly="1" outline="0" axis="axisCol" fieldPosition="0"/>
    </format>
    <format dxfId="764">
      <pivotArea type="topRight" dataOnly="0" labelOnly="1" outline="0" fieldPosition="0"/>
    </format>
    <format dxfId="763">
      <pivotArea field="3" type="button" dataOnly="0" labelOnly="1" outline="0" axis="axisRow" fieldPosition="0"/>
    </format>
    <format dxfId="762">
      <pivotArea dataOnly="0" labelOnly="1" outline="0" fieldPosition="0">
        <references count="1">
          <reference field="3" count="0"/>
        </references>
      </pivotArea>
    </format>
    <format dxfId="761">
      <pivotArea dataOnly="0" labelOnly="1" outline="0" fieldPosition="0">
        <references count="1">
          <reference field="4294967294" count="3">
            <x v="0"/>
            <x v="1"/>
            <x v="2"/>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23BF3E6-8093-4346-B342-48CC446140D5}" name="Didtribution_OrderPriority" cacheId="0" applyNumberFormats="0" applyBorderFormats="0" applyFontFormats="0" applyPatternFormats="0" applyAlignmentFormats="0" applyWidthHeightFormats="1" dataCaption="Values" tag="5febfbea-5bc8-4315-b45c-ae5d8aa9f7e5" updatedVersion="8" minRefreshableVersion="3" useAutoFormatting="1" subtotalHiddenItems="1" rowGrandTotals="0" itemPrintTitles="1" createdVersion="8" indent="0" compact="0" compactData="0" gridDropZones="1" multipleFieldFilters="0">
  <location ref="BB4:BG25" firstHeaderRow="1" firstDataRow="2" firstDataCol="2"/>
  <pivotFields count="7">
    <pivotField axis="axisRow" compact="0" allDrilled="1" outline="0" subtotalTop="0" showAll="0" defaultSubtotal="0" defaultAttributeDrillState="1">
      <items count="4">
        <item x="0"/>
        <item x="1"/>
        <item x="2"/>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0"/>
    <field x="4"/>
  </rowFields>
  <rowItems count="20">
    <i>
      <x/>
      <x/>
    </i>
    <i r="1">
      <x v="1"/>
    </i>
    <i r="1">
      <x v="2"/>
    </i>
    <i r="1">
      <x v="3"/>
    </i>
    <i r="1">
      <x v="4"/>
    </i>
    <i>
      <x v="1"/>
      <x/>
    </i>
    <i r="1">
      <x v="1"/>
    </i>
    <i r="1">
      <x v="2"/>
    </i>
    <i r="1">
      <x v="3"/>
    </i>
    <i r="1">
      <x v="4"/>
    </i>
    <i>
      <x v="2"/>
      <x/>
    </i>
    <i r="1">
      <x v="1"/>
    </i>
    <i r="1">
      <x v="2"/>
    </i>
    <i r="1">
      <x v="3"/>
    </i>
    <i r="1">
      <x v="4"/>
    </i>
    <i>
      <x v="3"/>
      <x/>
    </i>
    <i r="1">
      <x v="1"/>
    </i>
    <i r="1">
      <x v="2"/>
    </i>
    <i r="1">
      <x v="3"/>
    </i>
    <i r="1">
      <x v="4"/>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78">
    <format dxfId="932">
      <pivotArea outline="0" collapsedLevelsAreSubtotals="1" fieldPosition="0"/>
    </format>
    <format dxfId="931">
      <pivotArea field="-2" type="button" dataOnly="0" labelOnly="1" outline="0" axis="axisCol" fieldPosition="0"/>
    </format>
    <format dxfId="930">
      <pivotArea type="topRight" dataOnly="0" labelOnly="1" outline="0" fieldPosition="0"/>
    </format>
    <format dxfId="929">
      <pivotArea dataOnly="0" labelOnly="1" outline="0" fieldPosition="0">
        <references count="1">
          <reference field="4294967294" count="2">
            <x v="0"/>
            <x v="1"/>
          </reference>
        </references>
      </pivotArea>
    </format>
    <format dxfId="928">
      <pivotArea dataOnly="0" labelOnly="1" outline="0" fieldPosition="0">
        <references count="1">
          <reference field="4294967294" count="1">
            <x v="0"/>
          </reference>
        </references>
      </pivotArea>
    </format>
    <format dxfId="927">
      <pivotArea dataOnly="0" labelOnly="1" outline="0" fieldPosition="0">
        <references count="1">
          <reference field="4294967294" count="1">
            <x v="1"/>
          </reference>
        </references>
      </pivotArea>
    </format>
    <format dxfId="926">
      <pivotArea outline="0" fieldPosition="0">
        <references count="1">
          <reference field="4294967294" count="1" selected="0">
            <x v="0"/>
          </reference>
        </references>
      </pivotArea>
    </format>
    <format dxfId="925">
      <pivotArea outline="0" fieldPosition="0">
        <references count="1">
          <reference field="4294967294" count="1" selected="0">
            <x v="1"/>
          </reference>
        </references>
      </pivotArea>
    </format>
    <format dxfId="924">
      <pivotArea outline="0" fieldPosition="0">
        <references count="1">
          <reference field="4294967294" count="1" selected="0">
            <x v="3"/>
          </reference>
        </references>
      </pivotArea>
    </format>
    <format dxfId="923">
      <pivotArea type="all" dataOnly="0" outline="0" fieldPosition="0"/>
    </format>
    <format dxfId="922">
      <pivotArea outline="0" collapsedLevelsAreSubtotals="1" fieldPosition="0"/>
    </format>
    <format dxfId="921">
      <pivotArea type="origin" dataOnly="0" labelOnly="1" outline="0" fieldPosition="0"/>
    </format>
    <format dxfId="920">
      <pivotArea field="-2" type="button" dataOnly="0" labelOnly="1" outline="0" axis="axisCol" fieldPosition="0"/>
    </format>
    <format dxfId="919">
      <pivotArea type="topRight" dataOnly="0" labelOnly="1" outline="0" fieldPosition="0"/>
    </format>
    <format dxfId="918">
      <pivotArea field="0" type="button" dataOnly="0" labelOnly="1" outline="0" axis="axisRow" fieldPosition="0"/>
    </format>
    <format dxfId="917">
      <pivotArea field="4" type="button" dataOnly="0" labelOnly="1" outline="0" axis="axisRow" fieldPosition="1"/>
    </format>
    <format dxfId="916">
      <pivotArea dataOnly="0" labelOnly="1" outline="0" fieldPosition="0">
        <references count="1">
          <reference field="0" count="0"/>
        </references>
      </pivotArea>
    </format>
    <format dxfId="915">
      <pivotArea dataOnly="0" labelOnly="1" outline="0" fieldPosition="0">
        <references count="2">
          <reference field="0" count="1" selected="0">
            <x v="0"/>
          </reference>
          <reference field="4" count="0"/>
        </references>
      </pivotArea>
    </format>
    <format dxfId="914">
      <pivotArea dataOnly="0" labelOnly="1" outline="0" fieldPosition="0">
        <references count="2">
          <reference field="0" count="1" selected="0">
            <x v="1"/>
          </reference>
          <reference field="4" count="0"/>
        </references>
      </pivotArea>
    </format>
    <format dxfId="913">
      <pivotArea dataOnly="0" labelOnly="1" outline="0" fieldPosition="0">
        <references count="2">
          <reference field="0" count="1" selected="0">
            <x v="2"/>
          </reference>
          <reference field="4" count="0"/>
        </references>
      </pivotArea>
    </format>
    <format dxfId="912">
      <pivotArea dataOnly="0" labelOnly="1" outline="0" fieldPosition="0">
        <references count="2">
          <reference field="0" count="1" selected="0">
            <x v="3"/>
          </reference>
          <reference field="4" count="0"/>
        </references>
      </pivotArea>
    </format>
    <format dxfId="911">
      <pivotArea dataOnly="0" labelOnly="1" outline="0" fieldPosition="0">
        <references count="1">
          <reference field="4294967294" count="4">
            <x v="0"/>
            <x v="1"/>
            <x v="2"/>
            <x v="3"/>
          </reference>
        </references>
      </pivotArea>
    </format>
    <format dxfId="910">
      <pivotArea type="all" dataOnly="0" outline="0" fieldPosition="0"/>
    </format>
    <format dxfId="909">
      <pivotArea outline="0" collapsedLevelsAreSubtotals="1" fieldPosition="0"/>
    </format>
    <format dxfId="908">
      <pivotArea type="origin" dataOnly="0" labelOnly="1" outline="0" fieldPosition="0"/>
    </format>
    <format dxfId="907">
      <pivotArea field="-2" type="button" dataOnly="0" labelOnly="1" outline="0" axis="axisCol" fieldPosition="0"/>
    </format>
    <format dxfId="906">
      <pivotArea type="topRight" dataOnly="0" labelOnly="1" outline="0" fieldPosition="0"/>
    </format>
    <format dxfId="905">
      <pivotArea field="0" type="button" dataOnly="0" labelOnly="1" outline="0" axis="axisRow" fieldPosition="0"/>
    </format>
    <format dxfId="904">
      <pivotArea field="4" type="button" dataOnly="0" labelOnly="1" outline="0" axis="axisRow" fieldPosition="1"/>
    </format>
    <format dxfId="903">
      <pivotArea dataOnly="0" labelOnly="1" outline="0" fieldPosition="0">
        <references count="1">
          <reference field="0" count="0"/>
        </references>
      </pivotArea>
    </format>
    <format dxfId="902">
      <pivotArea dataOnly="0" labelOnly="1" outline="0" fieldPosition="0">
        <references count="2">
          <reference field="0" count="1" selected="0">
            <x v="0"/>
          </reference>
          <reference field="4" count="0"/>
        </references>
      </pivotArea>
    </format>
    <format dxfId="901">
      <pivotArea dataOnly="0" labelOnly="1" outline="0" fieldPosition="0">
        <references count="2">
          <reference field="0" count="1" selected="0">
            <x v="1"/>
          </reference>
          <reference field="4" count="0"/>
        </references>
      </pivotArea>
    </format>
    <format dxfId="900">
      <pivotArea dataOnly="0" labelOnly="1" outline="0" fieldPosition="0">
        <references count="2">
          <reference field="0" count="1" selected="0">
            <x v="2"/>
          </reference>
          <reference field="4" count="0"/>
        </references>
      </pivotArea>
    </format>
    <format dxfId="899">
      <pivotArea dataOnly="0" labelOnly="1" outline="0" fieldPosition="0">
        <references count="2">
          <reference field="0" count="1" selected="0">
            <x v="3"/>
          </reference>
          <reference field="4" count="0"/>
        </references>
      </pivotArea>
    </format>
    <format dxfId="898">
      <pivotArea dataOnly="0" labelOnly="1" outline="0" fieldPosition="0">
        <references count="1">
          <reference field="4294967294" count="4">
            <x v="0"/>
            <x v="1"/>
            <x v="2"/>
            <x v="3"/>
          </reference>
        </references>
      </pivotArea>
    </format>
    <format dxfId="897">
      <pivotArea dataOnly="0" labelOnly="1" outline="0" fieldPosition="0">
        <references count="2">
          <reference field="0" count="1" selected="0">
            <x v="0"/>
          </reference>
          <reference field="4" count="0"/>
        </references>
      </pivotArea>
    </format>
    <format dxfId="896">
      <pivotArea dataOnly="0" labelOnly="1" outline="0" fieldPosition="0">
        <references count="2">
          <reference field="0" count="1" selected="0">
            <x v="1"/>
          </reference>
          <reference field="4" count="0"/>
        </references>
      </pivotArea>
    </format>
    <format dxfId="895">
      <pivotArea dataOnly="0" labelOnly="1" outline="0" fieldPosition="0">
        <references count="2">
          <reference field="0" count="1" selected="0">
            <x v="2"/>
          </reference>
          <reference field="4" count="0"/>
        </references>
      </pivotArea>
    </format>
    <format dxfId="894">
      <pivotArea dataOnly="0" labelOnly="1" outline="0" fieldPosition="0">
        <references count="2">
          <reference field="0" count="1" selected="0">
            <x v="3"/>
          </reference>
          <reference field="4" count="0"/>
        </references>
      </pivotArea>
    </format>
    <format dxfId="893">
      <pivotArea type="all" dataOnly="0" outline="0" fieldPosition="0"/>
    </format>
    <format dxfId="892">
      <pivotArea outline="0" collapsedLevelsAreSubtotals="1" fieldPosition="0"/>
    </format>
    <format dxfId="891">
      <pivotArea type="origin" dataOnly="0" labelOnly="1" outline="0" fieldPosition="0"/>
    </format>
    <format dxfId="890">
      <pivotArea field="-2" type="button" dataOnly="0" labelOnly="1" outline="0" axis="axisCol" fieldPosition="0"/>
    </format>
    <format dxfId="889">
      <pivotArea type="topRight" dataOnly="0" labelOnly="1" outline="0" fieldPosition="0"/>
    </format>
    <format dxfId="888">
      <pivotArea field="0" type="button" dataOnly="0" labelOnly="1" outline="0" axis="axisRow" fieldPosition="0"/>
    </format>
    <format dxfId="887">
      <pivotArea field="4" type="button" dataOnly="0" labelOnly="1" outline="0" axis="axisRow" fieldPosition="1"/>
    </format>
    <format dxfId="886">
      <pivotArea dataOnly="0" labelOnly="1" outline="0" fieldPosition="0">
        <references count="1">
          <reference field="0" count="0"/>
        </references>
      </pivotArea>
    </format>
    <format dxfId="885">
      <pivotArea dataOnly="0" labelOnly="1" outline="0" fieldPosition="0">
        <references count="2">
          <reference field="0" count="1" selected="0">
            <x v="0"/>
          </reference>
          <reference field="4" count="0"/>
        </references>
      </pivotArea>
    </format>
    <format dxfId="884">
      <pivotArea dataOnly="0" labelOnly="1" outline="0" fieldPosition="0">
        <references count="2">
          <reference field="0" count="1" selected="0">
            <x v="1"/>
          </reference>
          <reference field="4" count="0"/>
        </references>
      </pivotArea>
    </format>
    <format dxfId="883">
      <pivotArea dataOnly="0" labelOnly="1" outline="0" fieldPosition="0">
        <references count="2">
          <reference field="0" count="1" selected="0">
            <x v="2"/>
          </reference>
          <reference field="4" count="0"/>
        </references>
      </pivotArea>
    </format>
    <format dxfId="882">
      <pivotArea dataOnly="0" labelOnly="1" outline="0" fieldPosition="0">
        <references count="2">
          <reference field="0" count="1" selected="0">
            <x v="3"/>
          </reference>
          <reference field="4" count="0"/>
        </references>
      </pivotArea>
    </format>
    <format dxfId="881">
      <pivotArea dataOnly="0" labelOnly="1" outline="0" fieldPosition="0">
        <references count="1">
          <reference field="4294967294" count="4">
            <x v="0"/>
            <x v="1"/>
            <x v="2"/>
            <x v="3"/>
          </reference>
        </references>
      </pivotArea>
    </format>
    <format dxfId="880">
      <pivotArea type="all" dataOnly="0" outline="0" fieldPosition="0"/>
    </format>
    <format dxfId="879">
      <pivotArea outline="0" collapsedLevelsAreSubtotals="1" fieldPosition="0"/>
    </format>
    <format dxfId="878">
      <pivotArea type="origin" dataOnly="0" labelOnly="1" outline="0" fieldPosition="0"/>
    </format>
    <format dxfId="877">
      <pivotArea field="-2" type="button" dataOnly="0" labelOnly="1" outline="0" axis="axisCol" fieldPosition="0"/>
    </format>
    <format dxfId="876">
      <pivotArea type="topRight" dataOnly="0" labelOnly="1" outline="0" fieldPosition="0"/>
    </format>
    <format dxfId="875">
      <pivotArea field="0" type="button" dataOnly="0" labelOnly="1" outline="0" axis="axisRow" fieldPosition="0"/>
    </format>
    <format dxfId="874">
      <pivotArea field="4" type="button" dataOnly="0" labelOnly="1" outline="0" axis="axisRow" fieldPosition="1"/>
    </format>
    <format dxfId="873">
      <pivotArea dataOnly="0" labelOnly="1" outline="0" fieldPosition="0">
        <references count="1">
          <reference field="0" count="0"/>
        </references>
      </pivotArea>
    </format>
    <format dxfId="872">
      <pivotArea dataOnly="0" labelOnly="1" outline="0" fieldPosition="0">
        <references count="2">
          <reference field="0" count="1" selected="0">
            <x v="0"/>
          </reference>
          <reference field="4" count="0"/>
        </references>
      </pivotArea>
    </format>
    <format dxfId="871">
      <pivotArea dataOnly="0" labelOnly="1" outline="0" fieldPosition="0">
        <references count="2">
          <reference field="0" count="1" selected="0">
            <x v="1"/>
          </reference>
          <reference field="4" count="0"/>
        </references>
      </pivotArea>
    </format>
    <format dxfId="870">
      <pivotArea dataOnly="0" labelOnly="1" outline="0" fieldPosition="0">
        <references count="2">
          <reference field="0" count="1" selected="0">
            <x v="2"/>
          </reference>
          <reference field="4" count="0"/>
        </references>
      </pivotArea>
    </format>
    <format dxfId="869">
      <pivotArea dataOnly="0" labelOnly="1" outline="0" fieldPosition="0">
        <references count="2">
          <reference field="0" count="1" selected="0">
            <x v="3"/>
          </reference>
          <reference field="4" count="0"/>
        </references>
      </pivotArea>
    </format>
    <format dxfId="868">
      <pivotArea dataOnly="0" labelOnly="1" outline="0" fieldPosition="0">
        <references count="1">
          <reference field="4294967294" count="4">
            <x v="0"/>
            <x v="1"/>
            <x v="2"/>
            <x v="3"/>
          </reference>
        </references>
      </pivotArea>
    </format>
    <format dxfId="867">
      <pivotArea type="all" dataOnly="0" outline="0" fieldPosition="0"/>
    </format>
    <format dxfId="866">
      <pivotArea outline="0" collapsedLevelsAreSubtotals="1" fieldPosition="0"/>
    </format>
    <format dxfId="865">
      <pivotArea type="origin" dataOnly="0" labelOnly="1" outline="0" fieldPosition="0"/>
    </format>
    <format dxfId="864">
      <pivotArea field="-2" type="button" dataOnly="0" labelOnly="1" outline="0" axis="axisCol" fieldPosition="0"/>
    </format>
    <format dxfId="863">
      <pivotArea type="topRight" dataOnly="0" labelOnly="1" outline="0" fieldPosition="0"/>
    </format>
    <format dxfId="862">
      <pivotArea field="0" type="button" dataOnly="0" labelOnly="1" outline="0" axis="axisRow" fieldPosition="0"/>
    </format>
    <format dxfId="861">
      <pivotArea field="4" type="button" dataOnly="0" labelOnly="1" outline="0" axis="axisRow" fieldPosition="1"/>
    </format>
    <format dxfId="860">
      <pivotArea dataOnly="0" labelOnly="1" outline="0" fieldPosition="0">
        <references count="1">
          <reference field="0" count="0"/>
        </references>
      </pivotArea>
    </format>
    <format dxfId="859">
      <pivotArea dataOnly="0" labelOnly="1" outline="0" fieldPosition="0">
        <references count="2">
          <reference field="0" count="1" selected="0">
            <x v="0"/>
          </reference>
          <reference field="4" count="0"/>
        </references>
      </pivotArea>
    </format>
    <format dxfId="858">
      <pivotArea dataOnly="0" labelOnly="1" outline="0" fieldPosition="0">
        <references count="2">
          <reference field="0" count="1" selected="0">
            <x v="1"/>
          </reference>
          <reference field="4" count="0"/>
        </references>
      </pivotArea>
    </format>
    <format dxfId="857">
      <pivotArea dataOnly="0" labelOnly="1" outline="0" fieldPosition="0">
        <references count="2">
          <reference field="0" count="1" selected="0">
            <x v="2"/>
          </reference>
          <reference field="4" count="0"/>
        </references>
      </pivotArea>
    </format>
    <format dxfId="856">
      <pivotArea dataOnly="0" labelOnly="1" outline="0" fieldPosition="0">
        <references count="2">
          <reference field="0" count="1" selected="0">
            <x v="3"/>
          </reference>
          <reference field="4" count="0"/>
        </references>
      </pivotArea>
    </format>
    <format dxfId="855">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7"/>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CCE484A-C91F-4693-8FFB-BADA9DC1D6B0}" name="Sales&amp;Profit_VBAhover" cacheId="20" dataOnRows="1" applyNumberFormats="0" applyBorderFormats="0" applyFontFormats="0" applyPatternFormats="0" applyAlignmentFormats="0" applyWidthHeightFormats="1" dataCaption="Values" tag="61807855-8c58-43a7-a087-09dc4cbca6f3" updatedVersion="8" minRefreshableVersion="3" subtotalHiddenItems="1" rowGrandTotals="0" colGrandTotals="0" itemPrintTitles="1" createdVersion="8" indent="0" outline="1" outlineData="1" multipleFieldFilters="0" rowHeaderCaption="Product Sub-Category">
  <location ref="B39:S44" firstHeaderRow="1" firstDataRow="2" firstDataCol="1"/>
  <pivotFields count="6">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4">
    <i>
      <x/>
    </i>
    <i i="1">
      <x v="1"/>
    </i>
    <i i="2">
      <x v="2"/>
    </i>
    <i i="3">
      <x v="3"/>
    </i>
  </rowItems>
  <colFields count="1">
    <field x="0"/>
  </colFields>
  <colItems count="17">
    <i>
      <x/>
    </i>
    <i>
      <x v="1"/>
    </i>
    <i>
      <x v="2"/>
    </i>
    <i>
      <x v="3"/>
    </i>
    <i>
      <x v="4"/>
    </i>
    <i>
      <x v="5"/>
    </i>
    <i>
      <x v="6"/>
    </i>
    <i>
      <x v="7"/>
    </i>
    <i>
      <x v="8"/>
    </i>
    <i>
      <x v="9"/>
    </i>
    <i>
      <x v="10"/>
    </i>
    <i>
      <x v="11"/>
    </i>
    <i>
      <x v="12"/>
    </i>
    <i>
      <x v="13"/>
    </i>
    <i>
      <x v="14"/>
    </i>
    <i>
      <x v="15"/>
    </i>
    <i>
      <x v="16"/>
    </i>
  </colItems>
  <dataFields count="4">
    <dataField fld="1" subtotal="count" baseField="0" baseItem="0"/>
    <dataField fld="2" subtotal="count" baseField="0" baseItem="0"/>
    <dataField fld="3" subtotal="count" baseField="0" baseItem="0"/>
    <dataField fld="4" subtotal="count" baseField="0" baseItem="0"/>
  </dataFields>
  <formats count="67">
    <format dxfId="999">
      <pivotArea type="all" dataOnly="0" outline="0" fieldPosition="0"/>
    </format>
    <format dxfId="998">
      <pivotArea outline="0" collapsedLevelsAreSubtotals="1" fieldPosition="0"/>
    </format>
    <format dxfId="997">
      <pivotArea field="0" type="button" dataOnly="0" labelOnly="1" outline="0" axis="axisCol" fieldPosition="0"/>
    </format>
    <format dxfId="996">
      <pivotArea dataOnly="0" labelOnly="1" fieldPosition="0">
        <references count="1">
          <reference field="0" count="0"/>
        </references>
      </pivotArea>
    </format>
    <format dxfId="995">
      <pivotArea dataOnly="0" labelOnly="1" grandRow="1" outline="0" fieldPosition="0"/>
    </format>
    <format dxfId="994">
      <pivotArea type="all" dataOnly="0" outline="0" fieldPosition="0"/>
    </format>
    <format dxfId="993">
      <pivotArea outline="0" collapsedLevelsAreSubtotals="1" fieldPosition="0"/>
    </format>
    <format dxfId="992">
      <pivotArea field="0" type="button" dataOnly="0" labelOnly="1" outline="0" axis="axisCol" fieldPosition="0"/>
    </format>
    <format dxfId="991">
      <pivotArea dataOnly="0" labelOnly="1" fieldPosition="0">
        <references count="1">
          <reference field="0" count="0"/>
        </references>
      </pivotArea>
    </format>
    <format dxfId="990">
      <pivotArea dataOnly="0" labelOnly="1" grandRow="1" outline="0" fieldPosition="0"/>
    </format>
    <format dxfId="989">
      <pivotArea type="all" dataOnly="0" outline="0" fieldPosition="0"/>
    </format>
    <format dxfId="988">
      <pivotArea outline="0" collapsedLevelsAreSubtotals="1" fieldPosition="0"/>
    </format>
    <format dxfId="987">
      <pivotArea field="0" type="button" dataOnly="0" labelOnly="1" outline="0" axis="axisCol" fieldPosition="0"/>
    </format>
    <format dxfId="986">
      <pivotArea dataOnly="0" labelOnly="1" fieldPosition="0">
        <references count="1">
          <reference field="0" count="0"/>
        </references>
      </pivotArea>
    </format>
    <format dxfId="985">
      <pivotArea dataOnly="0" labelOnly="1" grandRow="1" outline="0" fieldPosition="0"/>
    </format>
    <format dxfId="984">
      <pivotArea collapsedLevelsAreSubtotals="1" fieldPosition="0">
        <references count="1">
          <reference field="0" count="0"/>
        </references>
      </pivotArea>
    </format>
    <format dxfId="983">
      <pivotArea type="all" dataOnly="0" outline="0" fieldPosition="0"/>
    </format>
    <format dxfId="982">
      <pivotArea outline="0" collapsedLevelsAreSubtotals="1" fieldPosition="0"/>
    </format>
    <format dxfId="981">
      <pivotArea dataOnly="0" labelOnly="1" fieldPosition="0">
        <references count="1">
          <reference field="0" count="0"/>
        </references>
      </pivotArea>
    </format>
    <format dxfId="980">
      <pivotArea dataOnly="0" labelOnly="1" grandRow="1" outline="0" fieldPosition="0"/>
    </format>
    <format dxfId="979">
      <pivotArea outline="0" collapsedLevelsAreSubtotals="1" fieldPosition="0">
        <references count="1">
          <reference field="0" count="4" selected="0">
            <x v="0"/>
            <x v="1"/>
            <x v="2"/>
            <x v="3"/>
          </reference>
        </references>
      </pivotArea>
    </format>
    <format dxfId="978">
      <pivotArea type="origin" dataOnly="0" labelOnly="1" outline="0" fieldPosition="0"/>
    </format>
    <format dxfId="977">
      <pivotArea field="0" type="button" dataOnly="0" labelOnly="1" outline="0" axis="axisCol" fieldPosition="0"/>
    </format>
    <format dxfId="976">
      <pivotArea type="topRight" dataOnly="0" labelOnly="1" outline="0" offset="A1:C1" fieldPosition="0"/>
    </format>
    <format dxfId="975">
      <pivotArea field="-2" type="button" dataOnly="0" labelOnly="1" outline="0" axis="axisRow" fieldPosition="0"/>
    </format>
    <format dxfId="974">
      <pivotArea dataOnly="0" labelOnly="1" outline="0" fieldPosition="0">
        <references count="1">
          <reference field="4294967294" count="4">
            <x v="0"/>
            <x v="1"/>
            <x v="2"/>
            <x v="3"/>
          </reference>
        </references>
      </pivotArea>
    </format>
    <format dxfId="973">
      <pivotArea dataOnly="0" labelOnly="1" fieldPosition="0">
        <references count="1">
          <reference field="0" count="4">
            <x v="0"/>
            <x v="1"/>
            <x v="2"/>
            <x v="3"/>
          </reference>
        </references>
      </pivotArea>
    </format>
    <format dxfId="972">
      <pivotArea type="all" dataOnly="0" outline="0" fieldPosition="0"/>
    </format>
    <format dxfId="971">
      <pivotArea outline="0" collapsedLevelsAreSubtotals="1" fieldPosition="0"/>
    </format>
    <format dxfId="970">
      <pivotArea type="origin" dataOnly="0" labelOnly="1" outline="0" fieldPosition="0"/>
    </format>
    <format dxfId="969">
      <pivotArea field="0" type="button" dataOnly="0" labelOnly="1" outline="0" axis="axisCol" fieldPosition="0"/>
    </format>
    <format dxfId="968">
      <pivotArea type="topRight" dataOnly="0" labelOnly="1" outline="0" fieldPosition="0"/>
    </format>
    <format dxfId="967">
      <pivotArea field="-2" type="button" dataOnly="0" labelOnly="1" outline="0" axis="axisRow" fieldPosition="0"/>
    </format>
    <format dxfId="966">
      <pivotArea dataOnly="0" labelOnly="1" outline="0" fieldPosition="0">
        <references count="1">
          <reference field="4294967294" count="4">
            <x v="0"/>
            <x v="1"/>
            <x v="2"/>
            <x v="3"/>
          </reference>
        </references>
      </pivotArea>
    </format>
    <format dxfId="965">
      <pivotArea dataOnly="0" labelOnly="1" fieldPosition="0">
        <references count="1">
          <reference field="0" count="0"/>
        </references>
      </pivotArea>
    </format>
    <format dxfId="964">
      <pivotArea type="all" dataOnly="0" outline="0" fieldPosition="0"/>
    </format>
    <format dxfId="963">
      <pivotArea outline="0" collapsedLevelsAreSubtotals="1" fieldPosition="0"/>
    </format>
    <format dxfId="962">
      <pivotArea type="origin" dataOnly="0" labelOnly="1" outline="0" fieldPosition="0"/>
    </format>
    <format dxfId="961">
      <pivotArea field="0" type="button" dataOnly="0" labelOnly="1" outline="0" axis="axisCol" fieldPosition="0"/>
    </format>
    <format dxfId="960">
      <pivotArea type="topRight" dataOnly="0" labelOnly="1" outline="0" fieldPosition="0"/>
    </format>
    <format dxfId="959">
      <pivotArea field="-2" type="button" dataOnly="0" labelOnly="1" outline="0" axis="axisRow" fieldPosition="0"/>
    </format>
    <format dxfId="958">
      <pivotArea dataOnly="0" labelOnly="1" outline="0" fieldPosition="0">
        <references count="1">
          <reference field="4294967294" count="4">
            <x v="0"/>
            <x v="1"/>
            <x v="2"/>
            <x v="3"/>
          </reference>
        </references>
      </pivotArea>
    </format>
    <format dxfId="957">
      <pivotArea dataOnly="0" labelOnly="1" fieldPosition="0">
        <references count="1">
          <reference field="0" count="0"/>
        </references>
      </pivotArea>
    </format>
    <format dxfId="956">
      <pivotArea type="all" dataOnly="0" outline="0" fieldPosition="0"/>
    </format>
    <format dxfId="955">
      <pivotArea outline="0" collapsedLevelsAreSubtotals="1" fieldPosition="0"/>
    </format>
    <format dxfId="954">
      <pivotArea type="origin" dataOnly="0" labelOnly="1" outline="0" fieldPosition="0"/>
    </format>
    <format dxfId="953">
      <pivotArea field="0" type="button" dataOnly="0" labelOnly="1" outline="0" axis="axisCol" fieldPosition="0"/>
    </format>
    <format dxfId="952">
      <pivotArea type="topRight" dataOnly="0" labelOnly="1" outline="0" fieldPosition="0"/>
    </format>
    <format dxfId="951">
      <pivotArea field="-2" type="button" dataOnly="0" labelOnly="1" outline="0" axis="axisRow" fieldPosition="0"/>
    </format>
    <format dxfId="950">
      <pivotArea dataOnly="0" labelOnly="1" outline="0" fieldPosition="0">
        <references count="1">
          <reference field="4294967294" count="4">
            <x v="0"/>
            <x v="1"/>
            <x v="2"/>
            <x v="3"/>
          </reference>
        </references>
      </pivotArea>
    </format>
    <format dxfId="949">
      <pivotArea dataOnly="0" labelOnly="1" fieldPosition="0">
        <references count="1">
          <reference field="0" count="0"/>
        </references>
      </pivotArea>
    </format>
    <format dxfId="948">
      <pivotArea type="all" dataOnly="0" outline="0" fieldPosition="0"/>
    </format>
    <format dxfId="947">
      <pivotArea outline="0" collapsedLevelsAreSubtotals="1" fieldPosition="0"/>
    </format>
    <format dxfId="946">
      <pivotArea type="origin" dataOnly="0" labelOnly="1" outline="0" fieldPosition="0"/>
    </format>
    <format dxfId="945">
      <pivotArea field="0" type="button" dataOnly="0" labelOnly="1" outline="0" axis="axisCol" fieldPosition="0"/>
    </format>
    <format dxfId="944">
      <pivotArea type="topRight" dataOnly="0" labelOnly="1" outline="0" fieldPosition="0"/>
    </format>
    <format dxfId="943">
      <pivotArea field="-2" type="button" dataOnly="0" labelOnly="1" outline="0" axis="axisRow" fieldPosition="0"/>
    </format>
    <format dxfId="942">
      <pivotArea dataOnly="0" labelOnly="1" outline="0" fieldPosition="0">
        <references count="1">
          <reference field="4294967294" count="4">
            <x v="0"/>
            <x v="1"/>
            <x v="2"/>
            <x v="3"/>
          </reference>
        </references>
      </pivotArea>
    </format>
    <format dxfId="941">
      <pivotArea dataOnly="0" labelOnly="1" fieldPosition="0">
        <references count="1">
          <reference field="0" count="0"/>
        </references>
      </pivotArea>
    </format>
    <format dxfId="940">
      <pivotArea type="all" dataOnly="0" outline="0" fieldPosition="0"/>
    </format>
    <format dxfId="939">
      <pivotArea outline="0" collapsedLevelsAreSubtotals="1" fieldPosition="0"/>
    </format>
    <format dxfId="938">
      <pivotArea type="origin" dataOnly="0" labelOnly="1" outline="0" fieldPosition="0"/>
    </format>
    <format dxfId="937">
      <pivotArea field="0" type="button" dataOnly="0" labelOnly="1" outline="0" axis="axisCol" fieldPosition="0"/>
    </format>
    <format dxfId="936">
      <pivotArea type="topRight" dataOnly="0" labelOnly="1" outline="0" fieldPosition="0"/>
    </format>
    <format dxfId="935">
      <pivotArea field="-2" type="button" dataOnly="0" labelOnly="1" outline="0" axis="axisRow" fieldPosition="0"/>
    </format>
    <format dxfId="934">
      <pivotArea dataOnly="0" labelOnly="1" outline="0" fieldPosition="0">
        <references count="1">
          <reference field="4294967294" count="4">
            <x v="0"/>
            <x v="1"/>
            <x v="2"/>
            <x v="3"/>
          </reference>
        </references>
      </pivotArea>
    </format>
    <format dxfId="933">
      <pivotArea dataOnly="0" labelOnly="1" fieldPosition="0">
        <references count="1">
          <reference field="0" count="0"/>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caption="Shipping Cost"/>
    <pivotHierarchy dragToData="1" caption="Discount"/>
    <pivotHierarchy dragToData="1" caption="Cumulative cost"/>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2"/>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B7CBB82-BDFD-48D8-B5E6-229CF43306C8}" name="Distribution_TopProfitCities" cacheId="9"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35:CL3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1011">
      <pivotArea outline="0" collapsedLevelsAreSubtotals="1" fieldPosition="0">
        <references count="1">
          <reference field="4294967294" count="1" selected="0">
            <x v="0"/>
          </reference>
        </references>
      </pivotArea>
    </format>
    <format dxfId="1010">
      <pivotArea dataOnly="0" labelOnly="1" outline="0" fieldPosition="0">
        <references count="1">
          <reference field="4294967294" count="1">
            <x v="0"/>
          </reference>
        </references>
      </pivotArea>
    </format>
    <format dxfId="1009">
      <pivotArea type="all" dataOnly="0" outline="0" fieldPosition="0"/>
    </format>
    <format dxfId="1008">
      <pivotArea outline="0" collapsedLevelsAreSubtotals="1" fieldPosition="0"/>
    </format>
    <format dxfId="1007">
      <pivotArea field="0" type="button" dataOnly="0" labelOnly="1" outline="0" axis="axisRow" fieldPosition="0"/>
    </format>
    <format dxfId="1006">
      <pivotArea dataOnly="0" labelOnly="1" fieldPosition="0">
        <references count="1">
          <reference field="0" count="0"/>
        </references>
      </pivotArea>
    </format>
    <format dxfId="1005">
      <pivotArea dataOnly="0" labelOnly="1" outline="0" fieldPosition="0">
        <references count="1">
          <reference field="4294967294" count="2">
            <x v="0"/>
            <x v="1"/>
          </reference>
        </references>
      </pivotArea>
    </format>
    <format dxfId="1004">
      <pivotArea type="all" dataOnly="0" outline="0" fieldPosition="0"/>
    </format>
    <format dxfId="1003">
      <pivotArea outline="0" collapsedLevelsAreSubtotals="1" fieldPosition="0"/>
    </format>
    <format dxfId="1002">
      <pivotArea field="0" type="button" dataOnly="0" labelOnly="1" outline="0" axis="axisRow" fieldPosition="0"/>
    </format>
    <format dxfId="1001">
      <pivotArea dataOnly="0" labelOnly="1" fieldPosition="0">
        <references count="1">
          <reference field="0" count="0"/>
        </references>
      </pivotArea>
    </format>
    <format dxfId="1000">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1B94722-0470-49B3-94AE-CB3C09F55F33}" name="Distribution_TopLossProducts" cacheId="8"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23:CL26" firstHeaderRow="0" firstDataRow="1" firstDataCol="1"/>
  <pivotFields count="4">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v="2"/>
    </i>
    <i>
      <x/>
    </i>
    <i>
      <x v="1"/>
    </i>
  </rowItems>
  <colFields count="1">
    <field x="-2"/>
  </colFields>
  <colItems count="2">
    <i>
      <x/>
    </i>
    <i i="1">
      <x v="1"/>
    </i>
  </colItems>
  <dataFields count="2">
    <dataField name="Profit" fld="2" baseField="0" baseItem="0" numFmtId="168"/>
    <dataField name="Quantity" fld="1" baseField="0" baseItem="0"/>
  </dataFields>
  <formats count="17">
    <format dxfId="1028">
      <pivotArea outline="0" collapsedLevelsAreSubtotals="1" fieldPosition="0">
        <references count="1">
          <reference field="4294967294" count="1" selected="0">
            <x v="0"/>
          </reference>
        </references>
      </pivotArea>
    </format>
    <format dxfId="1027">
      <pivotArea dataOnly="0" labelOnly="1" outline="0" fieldPosition="0">
        <references count="1">
          <reference field="4294967294" count="1">
            <x v="0"/>
          </reference>
        </references>
      </pivotArea>
    </format>
    <format dxfId="1026">
      <pivotArea type="all" dataOnly="0" outline="0" fieldPosition="0"/>
    </format>
    <format dxfId="1025">
      <pivotArea outline="0" collapsedLevelsAreSubtotals="1" fieldPosition="0"/>
    </format>
    <format dxfId="1024">
      <pivotArea field="0" type="button" dataOnly="0" labelOnly="1" outline="0" axis="axisRow" fieldPosition="0"/>
    </format>
    <format dxfId="1023">
      <pivotArea dataOnly="0" labelOnly="1" fieldPosition="0">
        <references count="1">
          <reference field="0" count="0"/>
        </references>
      </pivotArea>
    </format>
    <format dxfId="1022">
      <pivotArea dataOnly="0" labelOnly="1" outline="0" fieldPosition="0">
        <references count="1">
          <reference field="4294967294" count="2">
            <x v="0"/>
            <x v="1"/>
          </reference>
        </references>
      </pivotArea>
    </format>
    <format dxfId="1021">
      <pivotArea type="all" dataOnly="0" outline="0" fieldPosition="0"/>
    </format>
    <format dxfId="1020">
      <pivotArea outline="0" collapsedLevelsAreSubtotals="1" fieldPosition="0"/>
    </format>
    <format dxfId="1019">
      <pivotArea field="0" type="button" dataOnly="0" labelOnly="1" outline="0" axis="axisRow" fieldPosition="0"/>
    </format>
    <format dxfId="1018">
      <pivotArea dataOnly="0" labelOnly="1" fieldPosition="0">
        <references count="1">
          <reference field="0" count="0"/>
        </references>
      </pivotArea>
    </format>
    <format dxfId="1017">
      <pivotArea dataOnly="0" labelOnly="1" outline="0" fieldPosition="0">
        <references count="1">
          <reference field="4294967294" count="2">
            <x v="0"/>
            <x v="1"/>
          </reference>
        </references>
      </pivotArea>
    </format>
    <format dxfId="1016">
      <pivotArea type="all" dataOnly="0" outline="0" fieldPosition="0"/>
    </format>
    <format dxfId="1015">
      <pivotArea outline="0" collapsedLevelsAreSubtotals="1" fieldPosition="0"/>
    </format>
    <format dxfId="1014">
      <pivotArea field="0" type="button" dataOnly="0" labelOnly="1" outline="0" axis="axisRow" fieldPosition="0"/>
    </format>
    <format dxfId="1013">
      <pivotArea dataOnly="0" labelOnly="1" fieldPosition="0">
        <references count="1">
          <reference field="0" count="0"/>
        </references>
      </pivotArea>
    </format>
    <format dxfId="1012">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40">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74A3A94-4B9C-433A-B355-718015AA89AB}" name="Sales&amp;Profit_SmallDonut" cacheId="18" applyNumberFormats="0" applyBorderFormats="0" applyFontFormats="0" applyPatternFormats="0" applyAlignmentFormats="0" applyWidthHeightFormats="1" dataCaption="Values" tag="67243fc6-6827-43f3-99e8-096150c90107" updatedVersion="8" minRefreshableVersion="3" showDrill="0" subtotalHiddenItems="1" itemPrintTitles="1" createdVersion="8" indent="0" outline="1" outlineData="1" multipleFieldFilters="0" chartFormat="49" rowHeaderCaption="Product Sub-Category">
  <location ref="I27:J32"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55">
    <format dxfId="1083">
      <pivotArea outline="0" collapsedLevelsAreSubtotals="1" fieldPosition="0"/>
    </format>
    <format dxfId="1082">
      <pivotArea type="all" dataOnly="0" outline="0" fieldPosition="0"/>
    </format>
    <format dxfId="1081">
      <pivotArea outline="0" collapsedLevelsAreSubtotals="1" fieldPosition="0"/>
    </format>
    <format dxfId="1080">
      <pivotArea field="0" type="button" dataOnly="0" labelOnly="1" outline="0" axis="axisRow" fieldPosition="0"/>
    </format>
    <format dxfId="1079">
      <pivotArea dataOnly="0" labelOnly="1" fieldPosition="0">
        <references count="1">
          <reference field="0" count="0"/>
        </references>
      </pivotArea>
    </format>
    <format dxfId="1078">
      <pivotArea dataOnly="0" labelOnly="1" grandRow="1" outline="0" fieldPosition="0"/>
    </format>
    <format dxfId="1077">
      <pivotArea dataOnly="0" labelOnly="1" outline="0" axis="axisValues" fieldPosition="0"/>
    </format>
    <format dxfId="1076">
      <pivotArea type="all" dataOnly="0" outline="0" fieldPosition="0"/>
    </format>
    <format dxfId="1075">
      <pivotArea outline="0" collapsedLevelsAreSubtotals="1" fieldPosition="0"/>
    </format>
    <format dxfId="1074">
      <pivotArea field="0" type="button" dataOnly="0" labelOnly="1" outline="0" axis="axisRow" fieldPosition="0"/>
    </format>
    <format dxfId="1073">
      <pivotArea dataOnly="0" labelOnly="1" fieldPosition="0">
        <references count="1">
          <reference field="0" count="0"/>
        </references>
      </pivotArea>
    </format>
    <format dxfId="1072">
      <pivotArea dataOnly="0" labelOnly="1" grandRow="1" outline="0" fieldPosition="0"/>
    </format>
    <format dxfId="1071">
      <pivotArea dataOnly="0" labelOnly="1" outline="0" axis="axisValues" fieldPosition="0"/>
    </format>
    <format dxfId="1070">
      <pivotArea type="all" dataOnly="0" outline="0" fieldPosition="0"/>
    </format>
    <format dxfId="1069">
      <pivotArea outline="0" collapsedLevelsAreSubtotals="1" fieldPosition="0"/>
    </format>
    <format dxfId="1068">
      <pivotArea field="0" type="button" dataOnly="0" labelOnly="1" outline="0" axis="axisRow" fieldPosition="0"/>
    </format>
    <format dxfId="1067">
      <pivotArea dataOnly="0" labelOnly="1" fieldPosition="0">
        <references count="1">
          <reference field="0" count="0"/>
        </references>
      </pivotArea>
    </format>
    <format dxfId="1066">
      <pivotArea dataOnly="0" labelOnly="1" grandRow="1" outline="0" fieldPosition="0"/>
    </format>
    <format dxfId="1065">
      <pivotArea dataOnly="0" labelOnly="1" outline="0" axis="axisValues" fieldPosition="0"/>
    </format>
    <format dxfId="1064">
      <pivotArea type="all" dataOnly="0" outline="0" fieldPosition="0"/>
    </format>
    <format dxfId="1063">
      <pivotArea outline="0" collapsedLevelsAreSubtotals="1" fieldPosition="0"/>
    </format>
    <format dxfId="1062">
      <pivotArea field="0" type="button" dataOnly="0" labelOnly="1" outline="0" axis="axisRow" fieldPosition="0"/>
    </format>
    <format dxfId="1061">
      <pivotArea dataOnly="0" labelOnly="1" fieldPosition="0">
        <references count="1">
          <reference field="0" count="0"/>
        </references>
      </pivotArea>
    </format>
    <format dxfId="1060">
      <pivotArea dataOnly="0" labelOnly="1" grandRow="1" outline="0" fieldPosition="0"/>
    </format>
    <format dxfId="1059">
      <pivotArea dataOnly="0" labelOnly="1" outline="0" axis="axisValues" fieldPosition="0"/>
    </format>
    <format dxfId="1058">
      <pivotArea type="all" dataOnly="0" outline="0" fieldPosition="0"/>
    </format>
    <format dxfId="1057">
      <pivotArea outline="0" collapsedLevelsAreSubtotals="1" fieldPosition="0"/>
    </format>
    <format dxfId="1056">
      <pivotArea field="0" type="button" dataOnly="0" labelOnly="1" outline="0" axis="axisRow" fieldPosition="0"/>
    </format>
    <format dxfId="1055">
      <pivotArea dataOnly="0" labelOnly="1" fieldPosition="0">
        <references count="1">
          <reference field="0" count="0"/>
        </references>
      </pivotArea>
    </format>
    <format dxfId="1054">
      <pivotArea dataOnly="0" labelOnly="1" grandRow="1" outline="0" fieldPosition="0"/>
    </format>
    <format dxfId="1053">
      <pivotArea dataOnly="0" labelOnly="1" outline="0" axis="axisValues" fieldPosition="0"/>
    </format>
    <format dxfId="1052">
      <pivotArea type="all" dataOnly="0" outline="0" fieldPosition="0"/>
    </format>
    <format dxfId="1051">
      <pivotArea outline="0" collapsedLevelsAreSubtotals="1" fieldPosition="0"/>
    </format>
    <format dxfId="1050">
      <pivotArea field="0" type="button" dataOnly="0" labelOnly="1" outline="0" axis="axisRow" fieldPosition="0"/>
    </format>
    <format dxfId="1049">
      <pivotArea dataOnly="0" labelOnly="1" fieldPosition="0">
        <references count="1">
          <reference field="0" count="0"/>
        </references>
      </pivotArea>
    </format>
    <format dxfId="1048">
      <pivotArea dataOnly="0" labelOnly="1" grandRow="1" outline="0" fieldPosition="0"/>
    </format>
    <format dxfId="1047">
      <pivotArea dataOnly="0" labelOnly="1" outline="0" axis="axisValues" fieldPosition="0"/>
    </format>
    <format dxfId="1046">
      <pivotArea type="all" dataOnly="0" outline="0" fieldPosition="0"/>
    </format>
    <format dxfId="1045">
      <pivotArea outline="0" collapsedLevelsAreSubtotals="1" fieldPosition="0"/>
    </format>
    <format dxfId="1044">
      <pivotArea field="0" type="button" dataOnly="0" labelOnly="1" outline="0" axis="axisRow" fieldPosition="0"/>
    </format>
    <format dxfId="1043">
      <pivotArea dataOnly="0" labelOnly="1" fieldPosition="0">
        <references count="1">
          <reference field="0" count="0"/>
        </references>
      </pivotArea>
    </format>
    <format dxfId="1042">
      <pivotArea dataOnly="0" labelOnly="1" grandRow="1" outline="0" fieldPosition="0"/>
    </format>
    <format dxfId="1041">
      <pivotArea dataOnly="0" labelOnly="1" outline="0" axis="axisValues" fieldPosition="0"/>
    </format>
    <format dxfId="1040">
      <pivotArea type="all" dataOnly="0" outline="0" fieldPosition="0"/>
    </format>
    <format dxfId="1039">
      <pivotArea outline="0" collapsedLevelsAreSubtotals="1" fieldPosition="0"/>
    </format>
    <format dxfId="1038">
      <pivotArea field="0" type="button" dataOnly="0" labelOnly="1" outline="0" axis="axisRow" fieldPosition="0"/>
    </format>
    <format dxfId="1037">
      <pivotArea dataOnly="0" labelOnly="1" fieldPosition="0">
        <references count="1">
          <reference field="0" count="0"/>
        </references>
      </pivotArea>
    </format>
    <format dxfId="1036">
      <pivotArea dataOnly="0" labelOnly="1" grandRow="1" outline="0" fieldPosition="0"/>
    </format>
    <format dxfId="1035">
      <pivotArea dataOnly="0" labelOnly="1" outline="0" axis="axisValues" fieldPosition="0"/>
    </format>
    <format dxfId="1034">
      <pivotArea type="all" dataOnly="0" outline="0" fieldPosition="0"/>
    </format>
    <format dxfId="1033">
      <pivotArea outline="0" collapsedLevelsAreSubtotals="1" fieldPosition="0"/>
    </format>
    <format dxfId="1032">
      <pivotArea field="0" type="button" dataOnly="0" labelOnly="1" outline="0" axis="axisRow" fieldPosition="0"/>
    </format>
    <format dxfId="1031">
      <pivotArea dataOnly="0" labelOnly="1" fieldPosition="0">
        <references count="1">
          <reference field="0" count="0"/>
        </references>
      </pivotArea>
    </format>
    <format dxfId="1030">
      <pivotArea dataOnly="0" labelOnly="1" grandRow="1" outline="0" fieldPosition="0"/>
    </format>
    <format dxfId="1029">
      <pivotArea dataOnly="0" labelOnly="1" outline="0" axis="axisValues" fieldPosition="0"/>
    </format>
  </formats>
  <chartFormats count="17">
    <chartFormat chart="30"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7" format="2">
      <pivotArea type="data" outline="0" fieldPosition="0">
        <references count="2">
          <reference field="4294967294" count="1" selected="0">
            <x v="0"/>
          </reference>
          <reference field="0" count="1" selected="0">
            <x v="0"/>
          </reference>
        </references>
      </pivotArea>
    </chartFormat>
    <chartFormat chart="37" format="3">
      <pivotArea type="data" outline="0" fieldPosition="0">
        <references count="2">
          <reference field="4294967294" count="1" selected="0">
            <x v="0"/>
          </reference>
          <reference field="0" count="1" selected="0">
            <x v="1"/>
          </reference>
        </references>
      </pivotArea>
    </chartFormat>
    <chartFormat chart="37" format="4">
      <pivotArea type="data" outline="0" fieldPosition="0">
        <references count="2">
          <reference field="4294967294" count="1" selected="0">
            <x v="0"/>
          </reference>
          <reference field="0" count="1" selected="0">
            <x v="2"/>
          </reference>
        </references>
      </pivotArea>
    </chartFormat>
    <chartFormat chart="37" format="5">
      <pivotArea type="data" outline="0" fieldPosition="0">
        <references count="2">
          <reference field="4294967294" count="1" selected="0">
            <x v="0"/>
          </reference>
          <reference field="0" count="1" selected="0">
            <x v="3"/>
          </reference>
        </references>
      </pivotArea>
    </chartFormat>
    <chartFormat chart="38" format="6" series="1">
      <pivotArea type="data" outline="0" fieldPosition="0">
        <references count="1">
          <reference field="4294967294" count="1" selected="0">
            <x v="0"/>
          </reference>
        </references>
      </pivotArea>
    </chartFormat>
    <chartFormat chart="38" format="7">
      <pivotArea type="data" outline="0" fieldPosition="0">
        <references count="2">
          <reference field="4294967294" count="1" selected="0">
            <x v="0"/>
          </reference>
          <reference field="0" count="1" selected="0">
            <x v="0"/>
          </reference>
        </references>
      </pivotArea>
    </chartFormat>
    <chartFormat chart="38" format="8">
      <pivotArea type="data" outline="0" fieldPosition="0">
        <references count="2">
          <reference field="4294967294" count="1" selected="0">
            <x v="0"/>
          </reference>
          <reference field="0" count="1" selected="0">
            <x v="1"/>
          </reference>
        </references>
      </pivotArea>
    </chartFormat>
    <chartFormat chart="38" format="9">
      <pivotArea type="data" outline="0" fieldPosition="0">
        <references count="2">
          <reference field="4294967294" count="1" selected="0">
            <x v="0"/>
          </reference>
          <reference field="0" count="1" selected="0">
            <x v="2"/>
          </reference>
        </references>
      </pivotArea>
    </chartFormat>
    <chartFormat chart="38" format="10">
      <pivotArea type="data" outline="0" fieldPosition="0">
        <references count="2">
          <reference field="4294967294" count="1" selected="0">
            <x v="0"/>
          </reference>
          <reference field="0" count="1" selected="0">
            <x v="3"/>
          </reference>
        </references>
      </pivotArea>
    </chartFormat>
    <chartFormat chart="39" format="6" series="1">
      <pivotArea type="data" outline="0" fieldPosition="0">
        <references count="1">
          <reference field="4294967294" count="1" selected="0">
            <x v="0"/>
          </reference>
        </references>
      </pivotArea>
    </chartFormat>
    <chartFormat chart="39" format="7">
      <pivotArea type="data" outline="0" fieldPosition="0">
        <references count="2">
          <reference field="4294967294" count="1" selected="0">
            <x v="0"/>
          </reference>
          <reference field="0" count="1" selected="0">
            <x v="0"/>
          </reference>
        </references>
      </pivotArea>
    </chartFormat>
    <chartFormat chart="39" format="8">
      <pivotArea type="data" outline="0" fieldPosition="0">
        <references count="2">
          <reference field="4294967294" count="1" selected="0">
            <x v="0"/>
          </reference>
          <reference field="0" count="1" selected="0">
            <x v="1"/>
          </reference>
        </references>
      </pivotArea>
    </chartFormat>
    <chartFormat chart="39" format="9">
      <pivotArea type="data" outline="0" fieldPosition="0">
        <references count="2">
          <reference field="4294967294" count="1" selected="0">
            <x v="0"/>
          </reference>
          <reference field="0" count="1" selected="0">
            <x v="2"/>
          </reference>
        </references>
      </pivotArea>
    </chartFormat>
    <chartFormat chart="39" format="10">
      <pivotArea type="data" outline="0" fieldPosition="0">
        <references count="2">
          <reference field="4294967294" count="1" selected="0">
            <x v="0"/>
          </reference>
          <reference field="0"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47BEB05-3799-40AA-BB06-B117BDD96904}" name="Sales&amp;Profit_Matrix+ScatterChart+Donught" cacheId="16" applyNumberFormats="0" applyBorderFormats="0" applyFontFormats="0" applyPatternFormats="0" applyAlignmentFormats="0" applyWidthHeightFormats="1" dataCaption="Values" tag="9f396733-ea91-42d0-a039-72bb8499b448" updatedVersion="8" minRefreshableVersion="3" subtotalHiddenItems="1" itemPrintTitles="1" createdVersion="8" indent="0" outline="1" outlineData="1" multipleFieldFilters="0" rowHeaderCaption="Product Sub-Category">
  <location ref="B5:F23" firstHeaderRow="0" firstDataRow="1" firstDataCol="1"/>
  <pivotFields count="6">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8">
    <i>
      <x/>
    </i>
    <i>
      <x v="1"/>
    </i>
    <i>
      <x v="2"/>
    </i>
    <i>
      <x v="3"/>
    </i>
    <i>
      <x v="4"/>
    </i>
    <i>
      <x v="5"/>
    </i>
    <i>
      <x v="6"/>
    </i>
    <i>
      <x v="7"/>
    </i>
    <i>
      <x v="8"/>
    </i>
    <i>
      <x v="9"/>
    </i>
    <i>
      <x v="10"/>
    </i>
    <i>
      <x v="11"/>
    </i>
    <i>
      <x v="12"/>
    </i>
    <i>
      <x v="13"/>
    </i>
    <i>
      <x v="14"/>
    </i>
    <i>
      <x v="15"/>
    </i>
    <i>
      <x v="16"/>
    </i>
    <i t="grand">
      <x/>
    </i>
  </rowItems>
  <colFields count="1">
    <field x="-2"/>
  </colFields>
  <colItems count="4">
    <i>
      <x/>
    </i>
    <i i="1">
      <x v="1"/>
    </i>
    <i i="2">
      <x v="2"/>
    </i>
    <i i="3">
      <x v="3"/>
    </i>
  </colItems>
  <dataFields count="4">
    <dataField name="Sales" fld="0" baseField="0" baseItem="0"/>
    <dataField name="Sales %" fld="4" showDataAs="percentOfCol" baseField="0" baseItem="0" numFmtId="10">
      <extLst>
        <ext xmlns:x14="http://schemas.microsoft.com/office/spreadsheetml/2009/9/main" uri="{E15A36E0-9728-4e99-A89B-3F7291B0FE68}">
          <x14:dataField sourceField="0" uniqueName="[__Xl2].[Measures].[Sum of Sales]"/>
        </ext>
      </extLst>
    </dataField>
    <dataField name="Quantity Sold" fld="2" baseField="0" baseItem="0"/>
    <dataField name="% of Sold Qty" fld="5" showDataAs="percentOfTotal" baseField="1" baseItem="0" numFmtId="10">
      <extLst>
        <ext xmlns:x14="http://schemas.microsoft.com/office/spreadsheetml/2009/9/main" uri="{E15A36E0-9728-4e99-A89B-3F7291B0FE68}">
          <x14:dataField sourceField="2" uniqueName="[__Xl2].[Measures].[Sum of Quantity ordered new]"/>
        </ext>
      </extLst>
    </dataField>
  </dataFields>
  <formats count="48">
    <format dxfId="1131">
      <pivotArea type="all" dataOnly="0" outline="0" fieldPosition="0"/>
    </format>
    <format dxfId="1130">
      <pivotArea outline="0" collapsedLevelsAreSubtotals="1" fieldPosition="0"/>
    </format>
    <format dxfId="1129">
      <pivotArea field="1" type="button" dataOnly="0" labelOnly="1" outline="0" axis="axisRow" fieldPosition="0"/>
    </format>
    <format dxfId="1128">
      <pivotArea dataOnly="0" labelOnly="1" fieldPosition="0">
        <references count="1">
          <reference field="1" count="0"/>
        </references>
      </pivotArea>
    </format>
    <format dxfId="1127">
      <pivotArea dataOnly="0" labelOnly="1" grandRow="1" outline="0" fieldPosition="0"/>
    </format>
    <format dxfId="1126">
      <pivotArea dataOnly="0" labelOnly="1" outline="0" fieldPosition="0">
        <references count="1">
          <reference field="4294967294" count="4">
            <x v="0"/>
            <x v="1"/>
            <x v="2"/>
            <x v="3"/>
          </reference>
        </references>
      </pivotArea>
    </format>
    <format dxfId="1125">
      <pivotArea type="all" dataOnly="0" outline="0" fieldPosition="0"/>
    </format>
    <format dxfId="1124">
      <pivotArea outline="0" collapsedLevelsAreSubtotals="1" fieldPosition="0"/>
    </format>
    <format dxfId="1123">
      <pivotArea field="1" type="button" dataOnly="0" labelOnly="1" outline="0" axis="axisRow" fieldPosition="0"/>
    </format>
    <format dxfId="1122">
      <pivotArea dataOnly="0" labelOnly="1" fieldPosition="0">
        <references count="1">
          <reference field="1" count="0"/>
        </references>
      </pivotArea>
    </format>
    <format dxfId="1121">
      <pivotArea dataOnly="0" labelOnly="1" grandRow="1" outline="0" fieldPosition="0"/>
    </format>
    <format dxfId="1120">
      <pivotArea dataOnly="0" labelOnly="1" outline="0" fieldPosition="0">
        <references count="1">
          <reference field="4294967294" count="4">
            <x v="0"/>
            <x v="1"/>
            <x v="2"/>
            <x v="3"/>
          </reference>
        </references>
      </pivotArea>
    </format>
    <format dxfId="1119">
      <pivotArea type="all" dataOnly="0" outline="0" fieldPosition="0"/>
    </format>
    <format dxfId="1118">
      <pivotArea outline="0" collapsedLevelsAreSubtotals="1" fieldPosition="0"/>
    </format>
    <format dxfId="1117">
      <pivotArea field="1" type="button" dataOnly="0" labelOnly="1" outline="0" axis="axisRow" fieldPosition="0"/>
    </format>
    <format dxfId="1116">
      <pivotArea dataOnly="0" labelOnly="1" fieldPosition="0">
        <references count="1">
          <reference field="1" count="0"/>
        </references>
      </pivotArea>
    </format>
    <format dxfId="1115">
      <pivotArea dataOnly="0" labelOnly="1" grandRow="1" outline="0" fieldPosition="0"/>
    </format>
    <format dxfId="1114">
      <pivotArea dataOnly="0" labelOnly="1" outline="0" fieldPosition="0">
        <references count="1">
          <reference field="4294967294" count="4">
            <x v="0"/>
            <x v="1"/>
            <x v="2"/>
            <x v="3"/>
          </reference>
        </references>
      </pivotArea>
    </format>
    <format dxfId="1113">
      <pivotArea type="all" dataOnly="0" outline="0" fieldPosition="0"/>
    </format>
    <format dxfId="1112">
      <pivotArea outline="0" collapsedLevelsAreSubtotals="1" fieldPosition="0"/>
    </format>
    <format dxfId="1111">
      <pivotArea field="1" type="button" dataOnly="0" labelOnly="1" outline="0" axis="axisRow" fieldPosition="0"/>
    </format>
    <format dxfId="1110">
      <pivotArea dataOnly="0" labelOnly="1" fieldPosition="0">
        <references count="1">
          <reference field="1" count="0"/>
        </references>
      </pivotArea>
    </format>
    <format dxfId="1109">
      <pivotArea dataOnly="0" labelOnly="1" grandRow="1" outline="0" fieldPosition="0"/>
    </format>
    <format dxfId="1108">
      <pivotArea dataOnly="0" labelOnly="1" outline="0" fieldPosition="0">
        <references count="1">
          <reference field="4294967294" count="4">
            <x v="0"/>
            <x v="1"/>
            <x v="2"/>
            <x v="3"/>
          </reference>
        </references>
      </pivotArea>
    </format>
    <format dxfId="1107">
      <pivotArea type="all" dataOnly="0" outline="0" fieldPosition="0"/>
    </format>
    <format dxfId="1106">
      <pivotArea outline="0" collapsedLevelsAreSubtotals="1" fieldPosition="0"/>
    </format>
    <format dxfId="1105">
      <pivotArea field="1" type="button" dataOnly="0" labelOnly="1" outline="0" axis="axisRow" fieldPosition="0"/>
    </format>
    <format dxfId="1104">
      <pivotArea dataOnly="0" labelOnly="1" fieldPosition="0">
        <references count="1">
          <reference field="1" count="0"/>
        </references>
      </pivotArea>
    </format>
    <format dxfId="1103">
      <pivotArea dataOnly="0" labelOnly="1" grandRow="1" outline="0" fieldPosition="0"/>
    </format>
    <format dxfId="1102">
      <pivotArea dataOnly="0" labelOnly="1" outline="0" fieldPosition="0">
        <references count="1">
          <reference field="4294967294" count="4">
            <x v="0"/>
            <x v="1"/>
            <x v="2"/>
            <x v="3"/>
          </reference>
        </references>
      </pivotArea>
    </format>
    <format dxfId="1101">
      <pivotArea type="all" dataOnly="0" outline="0" fieldPosition="0"/>
    </format>
    <format dxfId="1100">
      <pivotArea outline="0" collapsedLevelsAreSubtotals="1" fieldPosition="0"/>
    </format>
    <format dxfId="1099">
      <pivotArea field="1" type="button" dataOnly="0" labelOnly="1" outline="0" axis="axisRow" fieldPosition="0"/>
    </format>
    <format dxfId="1098">
      <pivotArea dataOnly="0" labelOnly="1" fieldPosition="0">
        <references count="1">
          <reference field="1" count="0"/>
        </references>
      </pivotArea>
    </format>
    <format dxfId="1097">
      <pivotArea dataOnly="0" labelOnly="1" grandRow="1" outline="0" fieldPosition="0"/>
    </format>
    <format dxfId="1096">
      <pivotArea dataOnly="0" labelOnly="1" outline="0" fieldPosition="0">
        <references count="1">
          <reference field="4294967294" count="4">
            <x v="0"/>
            <x v="1"/>
            <x v="2"/>
            <x v="3"/>
          </reference>
        </references>
      </pivotArea>
    </format>
    <format dxfId="1095">
      <pivotArea type="all" dataOnly="0" outline="0" fieldPosition="0"/>
    </format>
    <format dxfId="1094">
      <pivotArea outline="0" collapsedLevelsAreSubtotals="1" fieldPosition="0"/>
    </format>
    <format dxfId="1093">
      <pivotArea field="1" type="button" dataOnly="0" labelOnly="1" outline="0" axis="axisRow" fieldPosition="0"/>
    </format>
    <format dxfId="1092">
      <pivotArea dataOnly="0" labelOnly="1" fieldPosition="0">
        <references count="1">
          <reference field="1" count="0"/>
        </references>
      </pivotArea>
    </format>
    <format dxfId="1091">
      <pivotArea dataOnly="0" labelOnly="1" grandRow="1" outline="0" fieldPosition="0"/>
    </format>
    <format dxfId="1090">
      <pivotArea dataOnly="0" labelOnly="1" outline="0" fieldPosition="0">
        <references count="1">
          <reference field="4294967294" count="4">
            <x v="0"/>
            <x v="1"/>
            <x v="2"/>
            <x v="3"/>
          </reference>
        </references>
      </pivotArea>
    </format>
    <format dxfId="1089">
      <pivotArea type="all" dataOnly="0" outline="0" fieldPosition="0"/>
    </format>
    <format dxfId="1088">
      <pivotArea outline="0" collapsedLevelsAreSubtotals="1" fieldPosition="0"/>
    </format>
    <format dxfId="1087">
      <pivotArea field="1" type="button" dataOnly="0" labelOnly="1" outline="0" axis="axisRow" fieldPosition="0"/>
    </format>
    <format dxfId="1086">
      <pivotArea dataOnly="0" labelOnly="1" fieldPosition="0">
        <references count="1">
          <reference field="1" count="0"/>
        </references>
      </pivotArea>
    </format>
    <format dxfId="1085">
      <pivotArea dataOnly="0" labelOnly="1" grandRow="1" outline="0" fieldPosition="0"/>
    </format>
    <format dxfId="1084">
      <pivotArea dataOnly="0" labelOnly="1" outline="0" fieldPosition="0">
        <references count="1">
          <reference field="4294967294" count="4">
            <x v="0"/>
            <x v="1"/>
            <x v="2"/>
            <x v="3"/>
          </reference>
        </references>
      </pivotArea>
    </format>
  </formats>
  <pivotHierarchies count="5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2F22CCD-C771-4907-A506-19D0EDC0B5F6}" sourceName="[Table_1].[Product Category]">
  <pivotTables>
    <pivotTable tabId="20" name="SalesMap_The Map"/>
    <pivotTable tabId="20" name="Sales&amp;Profit_PercentageDial"/>
    <pivotTable tabId="20" name="Sales&amp;Profit_TrendChart"/>
    <pivotTable tabId="20" name="Sales&amp;Profit_Matrix+ScatterChart+Donught"/>
    <pivotTable tabId="20" name="Sales&amp;Profit_BarChart"/>
    <pivotTable tabId="20" name="Sales&amp;Profit_SmallDonut"/>
    <pivotTable tabId="20" name="SalesMap_RegionalBars+Matrix"/>
    <pivotTable tabId="20" name="Sales&amp;Profit_VBAhover"/>
  </pivotTables>
  <data>
    <olap pivotCacheId="1056932175">
      <levels count="2">
        <level uniqueName="[Table_1].[Product Category].[(All)]" sourceCaption="(All)" count="0"/>
        <level uniqueName="[Table_1].[Product Category].[Product Category]" sourceCaption="Product Category" count="3">
          <ranges>
            <range startItem="0">
              <i n="[Table_1].[Product Category].&amp;[Furniture]" c="Furniture"/>
              <i n="[Table_1].[Product Category].&amp;[Office Supplies]" c="Office Supplies"/>
              <i n="[Table_1].[Product Category].&amp;[Technology]" c="Technology"/>
            </range>
          </ranges>
        </level>
      </levels>
      <selections count="1">
        <selection n="[Table_1].[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116F933C-F3A6-4EBD-8CD6-92371C26F378}" sourceName="[Table_1].[Order Date (Month)]">
  <pivotTables>
    <pivotTable tabId="20" name="Sales&amp;Profit_PercentageDial"/>
    <pivotTable tabId="20" name="Sales&amp;Profit_SmallDonut"/>
    <pivotTable tabId="20" name="Sales&amp;Profit_Matrix+ScatterChart+Donught"/>
    <pivotTable tabId="20" name="Sales&amp;Profit_BarChart"/>
    <pivotTable tabId="20" name="Sales&amp;Profit_TrendChart"/>
    <pivotTable tabId="20" name="Sales&amp;Profit_VBAhover"/>
  </pivotTables>
  <data>
    <olap pivotCacheId="1056932175">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extLst>
    <x:ext xmlns:x15="http://schemas.microsoft.com/office/spreadsheetml/2010/11/main" uri="{470722E0-AACD-4C17-9CDC-17EF765DBC7E}">
      <x15:slicerCacheHideItemsWithNoData count="1">
        <x15:slicerCacheOlapLevelName uniqueName="[Table_1].[Order Date (Month)].[Order Date (Mont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242162D8-0B1B-4B06-9CEF-DE0D40582C2D}" sourceName="[Table_1].[Customer Segment]">
  <pivotTables>
    <pivotTable tabId="20" name="Trends_LineChart+Matrix"/>
    <pivotTable tabId="20" name="Trends_Bars"/>
    <pivotTable tabId="20" name="Trends_Matrix"/>
  </pivotTables>
  <data>
    <olap pivotCacheId="1028005513">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44BB75D1-895C-4F10-80A0-7A0F495529AD}" sourceName="[Table_1].[Manager]">
  <pivotTables>
    <pivotTable tabId="20" name="Trends_LineChart+Matrix"/>
    <pivotTable tabId="20" name="Trends_Bars"/>
    <pivotTable tabId="20" name="Trends_Matrix"/>
  </pivotTables>
  <data>
    <olap pivotCacheId="1028005513">
      <levels count="2">
        <level uniqueName="[Table_1].[Manager].[(All)]" sourceCaption="(All)" count="0"/>
        <level uniqueName="[Table_1].[Manager].[Manager]" sourceCaption="Manager" count="4">
          <ranges>
            <range startItem="0">
              <i n="[Table_1].[Manager].&amp;[Chris]" c="Chris"/>
              <i n="[Table_1].[Manager].&amp;[Erin]" c="Erin"/>
              <i n="[Table_1].[Manager].&amp;[Sam]" c="Sam"/>
              <i n="[Table_1].[Manager].&amp;[William]" c="William"/>
            </range>
          </ranges>
        </level>
      </levels>
      <selections count="1">
        <selection n="[Table_1].[Manag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1" xr10:uid="{A3115CAD-02F4-4896-BA09-2CD777A851A0}" sourceName="[Table_1].[Order Date (Month)]">
  <pivotTables>
    <pivotTable tabId="20" name="Trends_LineChart+Matrix"/>
    <pivotTable tabId="20" name="Trends_Bars"/>
    <pivotTable tabId="20" name="Trends_Matrix"/>
  </pivotTables>
  <data>
    <olap pivotCacheId="1028005513">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1" xr10:uid="{36DC0AF2-F750-4418-9C32-08D04CA0E770}" sourceName="[Table_1].[Customer Segment]">
  <pivotTables>
    <pivotTable tabId="20" name="Didtribution_OrderPriority"/>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1183887746">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379D673A-5E62-4AB4-A8D2-5F727DAABCF1}" sourceName="[Table_1].[Order Priority]">
  <pivotTables>
    <pivotTable tabId="20" name="Didtribution_Cust.Segment"/>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384521452">
      <levels count="2">
        <level uniqueName="[Table_1].[Order Priority].[(All)]" sourceCaption="(All)" count="0"/>
        <level uniqueName="[Table_1].[Order Priority].[Order Priority]" sourceCaption="Order Priority" count="5">
          <ranges>
            <range startItem="0">
              <i n="[Table_1].[Order Priority].&amp;[Critical]" c="Critical"/>
              <i n="[Table_1].[Order Priority].&amp;[High]" c="High"/>
              <i n="[Table_1].[Order Priority].&amp;[Low]" c="Low"/>
              <i n="[Table_1].[Order Priority].&amp;[Medium]" c="Medium"/>
              <i n="[Table_1].[Order Priority].&amp;[N/A]" c="N/A"/>
            </range>
          </ranges>
        </level>
      </levels>
      <selections count="1">
        <selection n="[Table_1].[Order Priority].[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2C296ED4-6259-4FCF-BBFF-0F2DC387FDCE}" sourceName="[Table_1].[Product Sub-Category]">
  <pivotTables>
    <pivotTable tabId="20" name="Didtribution_OrderPriority"/>
    <pivotTable tabId="20" name="Didtribution_Cust.Segment"/>
    <pivotTable tabId="20" name="Distribution_TopProfitProducts"/>
    <pivotTable tabId="20" name="Distribution_TopSellingProducts"/>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SellingCities"/>
  </pivotTables>
  <data>
    <olap pivotCacheId="1183887746">
      <levels count="2">
        <level uniqueName="[Table_1].[Product Sub-Category].[(All)]" sourceCaption="(All)" count="0"/>
        <level uniqueName="[Table_1].[Product Sub-Category].[Product Sub-Category]" sourceCaption="Product Sub-Category" count="17">
          <ranges>
            <range startItem="0">
              <i n="[Table_1].[Product Sub-Category].&amp;[Appliances]" c="Appliances"/>
              <i n="[Table_1].[Product Sub-Category].&amp;[Binders and Binder Accessories]" c="Binders and Binder Accessories"/>
              <i n="[Table_1].[Product Sub-Category].&amp;[Bookcases]" c="Bookcases"/>
              <i n="[Table_1].[Product Sub-Category].&amp;[Chairs &amp; Chairmats]" c="Chairs &amp; Chairmats"/>
              <i n="[Table_1].[Product Sub-Category].&amp;[Computer Peripherals]" c="Computer Peripherals"/>
              <i n="[Table_1].[Product Sub-Category].&amp;[Copiers and Fax]" c="Copiers and Fax"/>
              <i n="[Table_1].[Product Sub-Category].&amp;[Envelopes]" c="Envelopes"/>
              <i n="[Table_1].[Product Sub-Category].&amp;[Labels]" c="Labels"/>
              <i n="[Table_1].[Product Sub-Category].&amp;[Office Furnishings]" c="Office Furnishings"/>
              <i n="[Table_1].[Product Sub-Category].&amp;[Office Machines]" c="Office Machines"/>
              <i n="[Table_1].[Product Sub-Category].&amp;[Paper]" c="Paper"/>
              <i n="[Table_1].[Product Sub-Category].&amp;[Pens &amp; Art Supplies]" c="Pens &amp; Art Supplies"/>
              <i n="[Table_1].[Product Sub-Category].&amp;[Rubber Bands]" c="Rubber Bands"/>
              <i n="[Table_1].[Product Sub-Category].&amp;[Scissors, Rulers and Trimmers]" c="Scissors, Rulers and Trimmers"/>
              <i n="[Table_1].[Product Sub-Category].&amp;[Storage &amp; Organization]" c="Storage &amp; Organization"/>
              <i n="[Table_1].[Product Sub-Category].&amp;[Tables]" c="Tables"/>
              <i n="[Table_1].[Product Sub-Category].&amp;[Telephones and Communication]" c="Telephones and Communication"/>
            </range>
          </ranges>
        </level>
      </levels>
      <selections count="1">
        <selection n="[Table_1].[Product Sub-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F1568B4E-6A26-4691-81C2-45FE450ACC59}" cache="Slicer_Product_Category" columnCount="3" level="1" style="Slicer Style 1" lockedPosition="1" rowHeight="324000"/>
  <slicer name="Order Date (Month)" xr10:uid="{56AED562-A469-4DBA-895F-C4B3A3CCA94F}" cache="Slicer_Order_Date__Month" columnCount="6" level="1" style="Slicer Style 1" lockedPosition="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CD519504-2850-44AF-8A52-96AE62A059EA}" cache="Slicer_Customer_Segment" caption="Consumer Segment" columnCount="4" level="1" style="Slicer Style 1 2" lockedPosition="1" rowHeight="225425"/>
  <slicer name="Manager" xr10:uid="{F6DD7321-8FE3-4149-8B57-69EA253A96B8}" cache="Slicer_Manager" caption="Regional Managers" columnCount="4" level="1" style="Slicer Style 1 2" lockedPosition="1" rowHeight="225425"/>
  <slicer name="Order Date (Month) 1" xr10:uid="{728B7233-5B48-4FB3-9BDE-1D8A0D0AA3EB}" cache="Slicer_Order_Date__Month1" caption="Monthly Fliter" columnCount="6" level="1" style="Slicer Style 1 2" lockedPosition="1"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2" xr10:uid="{A3BB5B70-9237-4889-9474-1BFD19AB2F05}" cache="Slicer_Customer_Segment1" columnCount="4" level="1" style="Slicer Style 1 2" lockedPosition="1" rowHeight="225425"/>
  <slicer name="Order Priority" xr10:uid="{CF607CAB-7CD2-420B-B314-75C37537F3B8}" cache="Slicer_Order_Priority" columnCount="5" level="1" style="Slicer Style 1 2" lockedPosition="1" rowHeight="225425"/>
  <slicer name="Product Sub-Category" xr10:uid="{E590952F-9507-4524-A524-41A15856898F}" cache="Slicer_Product_Sub_Category" columnCount="9" level="1" style="Slicer Style 1 2" lockedPosition="1"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2" xr10:uid="{7346601B-6DE1-4064-933D-C60CB45CFA2A}" cache="Slicer_Product_Category" level="1"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D1938" totalsRowCount="1" headerRowDxfId="61" dataDxfId="60" totalsRowDxfId="59">
  <autoFilter ref="A1:AD1937" xr:uid="{00000000-000C-0000-FFFF-FFFF00000000}"/>
  <sortState xmlns:xlrd2="http://schemas.microsoft.com/office/spreadsheetml/2017/richdata2" ref="A2:AD1937">
    <sortCondition ref="S1:S1937"/>
  </sortState>
  <tableColumns count="30">
    <tableColumn id="1" xr3:uid="{00000000-0010-0000-0000-000001000000}" name="Customer ID" dataDxfId="58" totalsRowDxfId="57"/>
    <tableColumn id="2" xr3:uid="{00000000-0010-0000-0000-000002000000}" name="Customer Name" dataDxfId="56" totalsRowDxfId="55"/>
    <tableColumn id="3" xr3:uid="{00000000-0010-0000-0000-000003000000}" name="Order Priority" dataDxfId="54" totalsRowDxfId="53"/>
    <tableColumn id="4" xr3:uid="{00000000-0010-0000-0000-000004000000}" name="Discount" dataDxfId="52" totalsRowDxfId="51"/>
    <tableColumn id="5" xr3:uid="{00000000-0010-0000-0000-000005000000}" name="Unit Price" dataDxfId="50" totalsRowDxfId="49"/>
    <tableColumn id="6" xr3:uid="{00000000-0010-0000-0000-000006000000}" name="Shipping Cost" totalsRowFunction="sum" dataDxfId="48" totalsRowDxfId="47"/>
    <tableColumn id="7" xr3:uid="{00000000-0010-0000-0000-000007000000}" name="Ship Mode" dataDxfId="46" totalsRowDxfId="45"/>
    <tableColumn id="8" xr3:uid="{00000000-0010-0000-0000-000008000000}" name="Customer Segment" dataDxfId="44" totalsRowDxfId="43"/>
    <tableColumn id="9" xr3:uid="{00000000-0010-0000-0000-000009000000}" name="Product Category" dataDxfId="42" totalsRowDxfId="41"/>
    <tableColumn id="10" xr3:uid="{00000000-0010-0000-0000-00000A000000}" name="Product Sub-Category" totalsRowFunction="custom" dataDxfId="40" totalsRowDxfId="39">
      <totalsRowFormula>COUNT(DataSheet!$J$2:$J$1937)</totalsRowFormula>
    </tableColumn>
    <tableColumn id="11" xr3:uid="{00000000-0010-0000-0000-00000B000000}" name="Product Container" dataDxfId="38" totalsRowDxfId="37"/>
    <tableColumn id="12" xr3:uid="{00000000-0010-0000-0000-00000C000000}" name="Product Name" dataDxfId="36" totalsRowDxfId="35"/>
    <tableColumn id="13" xr3:uid="{00000000-0010-0000-0000-00000D000000}" name="Product Base Margin" dataDxfId="34" totalsRowDxfId="33"/>
    <tableColumn id="14" xr3:uid="{00000000-0010-0000-0000-00000E000000}" name="Country" dataDxfId="32" totalsRowDxfId="31"/>
    <tableColumn id="15" xr3:uid="{00000000-0010-0000-0000-00000F000000}" name="Region" dataDxfId="30" totalsRowDxfId="29"/>
    <tableColumn id="16" xr3:uid="{00000000-0010-0000-0000-000010000000}" name="State or Province" dataDxfId="28" totalsRowDxfId="27"/>
    <tableColumn id="17" xr3:uid="{00000000-0010-0000-0000-000011000000}" name="City" dataDxfId="26" totalsRowDxfId="25"/>
    <tableColumn id="18" xr3:uid="{00000000-0010-0000-0000-000012000000}" name="Postal Code" dataDxfId="24" totalsRowDxfId="23"/>
    <tableColumn id="19" xr3:uid="{00000000-0010-0000-0000-000013000000}" name="Order Date" dataDxfId="22" totalsRowDxfId="21"/>
    <tableColumn id="20" xr3:uid="{00000000-0010-0000-0000-000014000000}" name="Ship Date" dataDxfId="20" totalsRowDxfId="19"/>
    <tableColumn id="21" xr3:uid="{00000000-0010-0000-0000-000015000000}" name="Profit" totalsRowFunction="sum" dataDxfId="18" totalsRowDxfId="17"/>
    <tableColumn id="22" xr3:uid="{00000000-0010-0000-0000-000016000000}" name="Quantity ordered new" dataDxfId="16" totalsRowDxfId="15"/>
    <tableColumn id="23" xr3:uid="{00000000-0010-0000-0000-000017000000}" name="Sales" dataDxfId="14" totalsRowDxfId="13"/>
    <tableColumn id="24" xr3:uid="{00000000-0010-0000-0000-000018000000}" name="Order ID" totalsRowFunction="countNums" dataDxfId="12"/>
    <tableColumn id="25" xr3:uid="{00000000-0010-0000-0000-000019000000}" name="Total" dataDxfId="11" totalsRowDxfId="10"/>
    <tableColumn id="26" xr3:uid="{00000000-0010-0000-0000-00001A000000}" name="Manager" dataDxfId="9" totalsRowDxfId="8"/>
    <tableColumn id="32" xr3:uid="{4AA82A38-907F-448F-B0F2-AC0739A5A8E3}" name="Dollar Discount" dataDxfId="7" totalsRowDxfId="6"/>
    <tableColumn id="33" xr3:uid="{8598C223-A85F-421C-A3A6-6CE324975790}" name="Gross Cost" dataDxfId="5" totalsRowDxfId="4"/>
    <tableColumn id="34" xr3:uid="{C5930121-7904-4A4E-9FED-EDD928B9615E}" name="Gross Profit" dataDxfId="3" totalsRowDxfId="2"/>
    <tableColumn id="35" xr3:uid="{06A02C17-C7E9-4F7A-BD00-55989649C908}" name="Cumulative cost" totalsRowFunction="sum" dataDxfId="1" totalsRowDxfId="0"/>
  </tableColumns>
  <tableStyleInfo name="DataSheet-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2.emf"/><Relationship Id="rId21" Type="http://schemas.openxmlformats.org/officeDocument/2006/relationships/control" Target="../activeX/activeX10.xml"/><Relationship Id="rId34" Type="http://schemas.openxmlformats.org/officeDocument/2006/relationships/image" Target="../media/image16.emf"/><Relationship Id="rId42" Type="http://schemas.openxmlformats.org/officeDocument/2006/relationships/image" Target="../media/image20.emf"/><Relationship Id="rId47" Type="http://schemas.openxmlformats.org/officeDocument/2006/relationships/control" Target="../activeX/activeX23.xml"/><Relationship Id="rId50" Type="http://schemas.openxmlformats.org/officeDocument/2006/relationships/image" Target="../media/image24.emf"/><Relationship Id="rId55" Type="http://schemas.openxmlformats.org/officeDocument/2006/relationships/control" Target="../activeX/activeX27.xml"/><Relationship Id="rId63" Type="http://schemas.openxmlformats.org/officeDocument/2006/relationships/control" Target="../activeX/activeX31.xml"/><Relationship Id="rId7" Type="http://schemas.openxmlformats.org/officeDocument/2006/relationships/control" Target="../activeX/activeX3.xml"/><Relationship Id="rId2" Type="http://schemas.openxmlformats.org/officeDocument/2006/relationships/vmlDrawing" Target="../drawings/vmlDrawing1.vml"/><Relationship Id="rId16" Type="http://schemas.openxmlformats.org/officeDocument/2006/relationships/image" Target="../media/image7.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8.xml"/><Relationship Id="rId40" Type="http://schemas.openxmlformats.org/officeDocument/2006/relationships/image" Target="../media/image19.emf"/><Relationship Id="rId45" Type="http://schemas.openxmlformats.org/officeDocument/2006/relationships/control" Target="../activeX/activeX22.xml"/><Relationship Id="rId53" Type="http://schemas.openxmlformats.org/officeDocument/2006/relationships/control" Target="../activeX/activeX26.xml"/><Relationship Id="rId58" Type="http://schemas.openxmlformats.org/officeDocument/2006/relationships/image" Target="../media/image28.emf"/><Relationship Id="rId66" Type="http://schemas.openxmlformats.org/officeDocument/2006/relationships/image" Target="../media/image32.emf"/><Relationship Id="rId5" Type="http://schemas.openxmlformats.org/officeDocument/2006/relationships/control" Target="../activeX/activeX2.xml"/><Relationship Id="rId61" Type="http://schemas.openxmlformats.org/officeDocument/2006/relationships/control" Target="../activeX/activeX30.xml"/><Relationship Id="rId19" Type="http://schemas.openxmlformats.org/officeDocument/2006/relationships/control" Target="../activeX/activeX9.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3.emf"/><Relationship Id="rId56" Type="http://schemas.openxmlformats.org/officeDocument/2006/relationships/image" Target="../media/image27.emf"/><Relationship Id="rId64" Type="http://schemas.openxmlformats.org/officeDocument/2006/relationships/image" Target="../media/image31.emf"/><Relationship Id="rId8" Type="http://schemas.openxmlformats.org/officeDocument/2006/relationships/image" Target="../media/image3.emf"/><Relationship Id="rId51" Type="http://schemas.openxmlformats.org/officeDocument/2006/relationships/control" Target="../activeX/activeX25.xml"/><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 Id="rId46" Type="http://schemas.openxmlformats.org/officeDocument/2006/relationships/image" Target="../media/image22.emf"/><Relationship Id="rId59" Type="http://schemas.openxmlformats.org/officeDocument/2006/relationships/control" Target="../activeX/activeX29.xml"/><Relationship Id="rId67" Type="http://schemas.microsoft.com/office/2007/relationships/slicer" Target="../slicers/slicer1.xml"/><Relationship Id="rId20" Type="http://schemas.openxmlformats.org/officeDocument/2006/relationships/image" Target="../media/image9.emf"/><Relationship Id="rId41" Type="http://schemas.openxmlformats.org/officeDocument/2006/relationships/control" Target="../activeX/activeX20.xml"/><Relationship Id="rId54" Type="http://schemas.openxmlformats.org/officeDocument/2006/relationships/image" Target="../media/image26.emf"/><Relationship Id="rId62" Type="http://schemas.openxmlformats.org/officeDocument/2006/relationships/image" Target="../media/image30.emf"/><Relationship Id="rId1" Type="http://schemas.openxmlformats.org/officeDocument/2006/relationships/drawing" Target="../drawings/drawing1.xml"/><Relationship Id="rId6" Type="http://schemas.openxmlformats.org/officeDocument/2006/relationships/image" Target="../media/image2.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control" Target="../activeX/activeX24.xml"/><Relationship Id="rId57" Type="http://schemas.openxmlformats.org/officeDocument/2006/relationships/control" Target="../activeX/activeX28.xml"/><Relationship Id="rId10" Type="http://schemas.openxmlformats.org/officeDocument/2006/relationships/image" Target="../media/image4.emf"/><Relationship Id="rId31" Type="http://schemas.openxmlformats.org/officeDocument/2006/relationships/control" Target="../activeX/activeX15.xml"/><Relationship Id="rId44" Type="http://schemas.openxmlformats.org/officeDocument/2006/relationships/image" Target="../media/image21.emf"/><Relationship Id="rId52" Type="http://schemas.openxmlformats.org/officeDocument/2006/relationships/image" Target="../media/image25.emf"/><Relationship Id="rId60" Type="http://schemas.openxmlformats.org/officeDocument/2006/relationships/image" Target="../media/image29.emf"/><Relationship Id="rId65" Type="http://schemas.openxmlformats.org/officeDocument/2006/relationships/control" Target="../activeX/activeX32.xml"/><Relationship Id="rId4" Type="http://schemas.openxmlformats.org/officeDocument/2006/relationships/image" Target="../media/image1.emf"/><Relationship Id="rId9" Type="http://schemas.openxmlformats.org/officeDocument/2006/relationships/control" Target="../activeX/activeX4.xml"/><Relationship Id="rId13" Type="http://schemas.openxmlformats.org/officeDocument/2006/relationships/control" Target="../activeX/activeX6.xml"/><Relationship Id="rId18" Type="http://schemas.openxmlformats.org/officeDocument/2006/relationships/image" Target="../media/image8.emf"/><Relationship Id="rId39" Type="http://schemas.openxmlformats.org/officeDocument/2006/relationships/control" Target="../activeX/activeX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ctrlProp" Target="../ctrlProps/ctrlProp9.xml"/><Relationship Id="rId21" Type="http://schemas.microsoft.com/office/2007/relationships/slicer" Target="../slicers/slicer3.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vmlDrawing" Target="../drawings/vmlDrawing3.v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drawing" Target="../drawings/drawing3.xm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microsoft.com/office/2007/relationships/slicer" Target="../slicers/slicer4.xml"/><Relationship Id="rId3" Type="http://schemas.openxmlformats.org/officeDocument/2006/relationships/ctrlProp" Target="../ctrlProps/ctrlProp27.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98845-DBAB-4F79-98BB-F25AE3B661E7}">
  <sheetPr codeName="Sheet1">
    <tabColor theme="1"/>
  </sheetPr>
  <dimension ref="A1:AF36"/>
  <sheetViews>
    <sheetView showGridLines="0" showRowColHeaders="0" tabSelected="1" workbookViewId="0">
      <selection activeCell="AT42" sqref="AT42"/>
    </sheetView>
  </sheetViews>
  <sheetFormatPr defaultRowHeight="12.75" x14ac:dyDescent="0.2"/>
  <cols>
    <col min="1" max="16384" width="9.140625" style="2"/>
  </cols>
  <sheetData>
    <row r="1" spans="1:2" x14ac:dyDescent="0.2">
      <c r="A1" s="10"/>
    </row>
    <row r="2" spans="1:2" ht="12.75" customHeight="1" x14ac:dyDescent="0.2"/>
    <row r="3" spans="1:2" ht="12.75" customHeight="1" x14ac:dyDescent="0.2"/>
    <row r="4" spans="1:2" ht="12.75" customHeight="1" x14ac:dyDescent="0.2"/>
    <row r="5" spans="1:2" ht="12.75" customHeight="1" x14ac:dyDescent="0.2"/>
    <row r="6" spans="1:2" ht="12.75" customHeight="1" x14ac:dyDescent="0.25">
      <c r="B6" s="6"/>
    </row>
    <row r="7" spans="1:2" ht="12.75" customHeight="1" x14ac:dyDescent="0.25">
      <c r="B7" s="5"/>
    </row>
    <row r="8" spans="1:2" ht="12.75" customHeight="1" x14ac:dyDescent="0.25">
      <c r="B8" s="5"/>
    </row>
    <row r="9" spans="1:2" ht="12.75" customHeight="1" x14ac:dyDescent="0.2">
      <c r="B9" s="3"/>
    </row>
    <row r="10" spans="1:2" ht="12.75" customHeight="1" x14ac:dyDescent="0.2"/>
    <row r="11" spans="1:2" ht="12.75" customHeight="1" x14ac:dyDescent="0.2"/>
    <row r="12" spans="1:2" ht="12.75" customHeight="1" x14ac:dyDescent="0.2"/>
    <row r="13" spans="1:2" ht="12.75" customHeight="1" x14ac:dyDescent="0.2"/>
    <row r="14" spans="1:2" ht="12.75" customHeight="1" x14ac:dyDescent="0.2"/>
    <row r="15" spans="1:2" ht="12.75" customHeight="1" x14ac:dyDescent="0.2"/>
    <row r="16" spans="1:2" ht="12.75" customHeight="1" x14ac:dyDescent="0.2"/>
    <row r="17" spans="32:32" ht="12.75" customHeight="1" x14ac:dyDescent="0.2"/>
    <row r="18" spans="32:32" ht="12.75" customHeight="1" x14ac:dyDescent="0.2"/>
    <row r="19" spans="32:32" ht="12.75" customHeight="1" x14ac:dyDescent="0.2"/>
    <row r="20" spans="32:32" ht="12.75" customHeight="1" x14ac:dyDescent="0.2">
      <c r="AF20" s="7" t="s">
        <v>50</v>
      </c>
    </row>
    <row r="21" spans="32:32" ht="12.75" customHeight="1" x14ac:dyDescent="0.2"/>
    <row r="22" spans="32:32" ht="12.75" customHeight="1" x14ac:dyDescent="0.2"/>
    <row r="23" spans="32:32" ht="12.75" customHeight="1" x14ac:dyDescent="0.2"/>
    <row r="36" spans="6:6" x14ac:dyDescent="0.2">
      <c r="F36" s="4"/>
    </row>
  </sheetData>
  <sheetProtection algorithmName="SHA-512" hashValue="LO/yIobaAF6xGOBdmn8gdPnmtmomziyw4jym70yPsyWGO4QmXzX0MInFQOIyzhCYYT4ACIU4TZVuuVUBGdOCKA==" saltValue="xIdLFBMv7ncf6b8fKwH24Q==" spinCount="100000" sheet="1" objects="1" scenarios="1" selectLockedCells="1" selectUnlockedCells="1"/>
  <pageMargins left="0.7" right="0.7" top="0.75" bottom="0.75" header="0.3" footer="0.3"/>
  <drawing r:id="rId1"/>
  <legacyDrawing r:id="rId2"/>
  <controls>
    <mc:AlternateContent xmlns:mc="http://schemas.openxmlformats.org/markup-compatibility/2006">
      <mc:Choice Requires="x14">
        <control shapeId="1304" r:id="rId3" name="Binders">
          <controlPr locked="0" defaultSize="0" autoLine="0" autoPict="0" r:id="rId4">
            <anchor moveWithCells="1">
              <from>
                <xdr:col>13</xdr:col>
                <xdr:colOff>381000</xdr:colOff>
                <xdr:row>43</xdr:row>
                <xdr:rowOff>0</xdr:rowOff>
              </from>
              <to>
                <xdr:col>15</xdr:col>
                <xdr:colOff>85725</xdr:colOff>
                <xdr:row>48</xdr:row>
                <xdr:rowOff>104775</xdr:rowOff>
              </to>
            </anchor>
          </controlPr>
        </control>
      </mc:Choice>
      <mc:Fallback>
        <control shapeId="1304" r:id="rId3" name="Binders"/>
      </mc:Fallback>
    </mc:AlternateContent>
    <mc:AlternateContent xmlns:mc="http://schemas.openxmlformats.org/markup-compatibility/2006">
      <mc:Choice Requires="x14">
        <control shapeId="1303" r:id="rId5" name="Chairs">
          <controlPr locked="0" defaultSize="0" autoLine="0" autoPict="0" r:id="rId6">
            <anchor moveWithCells="1">
              <from>
                <xdr:col>16</xdr:col>
                <xdr:colOff>419100</xdr:colOff>
                <xdr:row>42</xdr:row>
                <xdr:rowOff>114300</xdr:rowOff>
              </from>
              <to>
                <xdr:col>18</xdr:col>
                <xdr:colOff>276225</xdr:colOff>
                <xdr:row>49</xdr:row>
                <xdr:rowOff>0</xdr:rowOff>
              </to>
            </anchor>
          </controlPr>
        </control>
      </mc:Choice>
      <mc:Fallback>
        <control shapeId="1303" r:id="rId5" name="Chairs"/>
      </mc:Fallback>
    </mc:AlternateContent>
    <mc:AlternateContent xmlns:mc="http://schemas.openxmlformats.org/markup-compatibility/2006">
      <mc:Choice Requires="x14">
        <control shapeId="1302" r:id="rId7" name="Computer">
          <controlPr locked="0" defaultSize="0" autoLine="0" autoPict="0" r:id="rId8">
            <anchor moveWithCells="1">
              <from>
                <xdr:col>19</xdr:col>
                <xdr:colOff>438150</xdr:colOff>
                <xdr:row>45</xdr:row>
                <xdr:rowOff>104775</xdr:rowOff>
              </from>
              <to>
                <xdr:col>20</xdr:col>
                <xdr:colOff>542925</xdr:colOff>
                <xdr:row>49</xdr:row>
                <xdr:rowOff>114300</xdr:rowOff>
              </to>
            </anchor>
          </controlPr>
        </control>
      </mc:Choice>
      <mc:Fallback>
        <control shapeId="1302" r:id="rId7" name="Computer"/>
      </mc:Fallback>
    </mc:AlternateContent>
    <mc:AlternateContent xmlns:mc="http://schemas.openxmlformats.org/markup-compatibility/2006">
      <mc:Choice Requires="x14">
        <control shapeId="1301" r:id="rId9" name="Copiers">
          <controlPr locked="0" defaultSize="0" autoLine="0" autoPict="0" r:id="rId10">
            <anchor moveWithCells="1">
              <from>
                <xdr:col>20</xdr:col>
                <xdr:colOff>104775</xdr:colOff>
                <xdr:row>38</xdr:row>
                <xdr:rowOff>19050</xdr:rowOff>
              </from>
              <to>
                <xdr:col>21</xdr:col>
                <xdr:colOff>209550</xdr:colOff>
                <xdr:row>42</xdr:row>
                <xdr:rowOff>66675</xdr:rowOff>
              </to>
            </anchor>
          </controlPr>
        </control>
      </mc:Choice>
      <mc:Fallback>
        <control shapeId="1301" r:id="rId9" name="Copiers"/>
      </mc:Fallback>
    </mc:AlternateContent>
    <mc:AlternateContent xmlns:mc="http://schemas.openxmlformats.org/markup-compatibility/2006">
      <mc:Choice Requires="x14">
        <control shapeId="1300" r:id="rId11" name="Storage">
          <controlPr locked="0" defaultSize="0" autoLine="0" autoPict="0" r:id="rId12">
            <anchor moveWithCells="1">
              <from>
                <xdr:col>10</xdr:col>
                <xdr:colOff>523875</xdr:colOff>
                <xdr:row>26</xdr:row>
                <xdr:rowOff>66675</xdr:rowOff>
              </from>
              <to>
                <xdr:col>12</xdr:col>
                <xdr:colOff>209550</xdr:colOff>
                <xdr:row>31</xdr:row>
                <xdr:rowOff>114300</xdr:rowOff>
              </to>
            </anchor>
          </controlPr>
        </control>
      </mc:Choice>
      <mc:Fallback>
        <control shapeId="1300" r:id="rId11" name="Storage"/>
      </mc:Fallback>
    </mc:AlternateContent>
    <mc:AlternateContent xmlns:mc="http://schemas.openxmlformats.org/markup-compatibility/2006">
      <mc:Choice Requires="x14">
        <control shapeId="1299" r:id="rId13" name="Envelope">
          <controlPr locked="0" defaultSize="0" autoLine="0" autoPict="0" r:id="rId14">
            <anchor moveWithCells="1">
              <from>
                <xdr:col>22</xdr:col>
                <xdr:colOff>419100</xdr:colOff>
                <xdr:row>31</xdr:row>
                <xdr:rowOff>95250</xdr:rowOff>
              </from>
              <to>
                <xdr:col>23</xdr:col>
                <xdr:colOff>276225</xdr:colOff>
                <xdr:row>34</xdr:row>
                <xdr:rowOff>66675</xdr:rowOff>
              </to>
            </anchor>
          </controlPr>
        </control>
      </mc:Choice>
      <mc:Fallback>
        <control shapeId="1299" r:id="rId13" name="Envelope"/>
      </mc:Fallback>
    </mc:AlternateContent>
    <mc:AlternateContent xmlns:mc="http://schemas.openxmlformats.org/markup-compatibility/2006">
      <mc:Choice Requires="x14">
        <control shapeId="1298" r:id="rId15" name="LabelsProducts">
          <controlPr locked="0" defaultSize="0" autoLine="0" r:id="rId16">
            <anchor moveWithCells="1">
              <from>
                <xdr:col>20</xdr:col>
                <xdr:colOff>314325</xdr:colOff>
                <xdr:row>26</xdr:row>
                <xdr:rowOff>85725</xdr:rowOff>
              </from>
              <to>
                <xdr:col>21</xdr:col>
                <xdr:colOff>9525</xdr:colOff>
                <xdr:row>28</xdr:row>
                <xdr:rowOff>28575</xdr:rowOff>
              </to>
            </anchor>
          </controlPr>
        </control>
      </mc:Choice>
      <mc:Fallback>
        <control shapeId="1298" r:id="rId15" name="LabelsProducts"/>
      </mc:Fallback>
    </mc:AlternateContent>
    <mc:AlternateContent xmlns:mc="http://schemas.openxmlformats.org/markup-compatibility/2006">
      <mc:Choice Requires="x14">
        <control shapeId="1297" r:id="rId17" name="Scissors">
          <controlPr locked="0" defaultSize="0" autoLine="0" r:id="rId18">
            <anchor moveWithCells="1">
              <from>
                <xdr:col>12</xdr:col>
                <xdr:colOff>161925</xdr:colOff>
                <xdr:row>22</xdr:row>
                <xdr:rowOff>95250</xdr:rowOff>
              </from>
              <to>
                <xdr:col>12</xdr:col>
                <xdr:colOff>466725</xdr:colOff>
                <xdr:row>24</xdr:row>
                <xdr:rowOff>76200</xdr:rowOff>
              </to>
            </anchor>
          </controlPr>
        </control>
      </mc:Choice>
      <mc:Fallback>
        <control shapeId="1297" r:id="rId17" name="Scissors"/>
      </mc:Fallback>
    </mc:AlternateContent>
    <mc:AlternateContent xmlns:mc="http://schemas.openxmlformats.org/markup-compatibility/2006">
      <mc:Choice Requires="x14">
        <control shapeId="1296" r:id="rId19" name="RubberBand">
          <controlPr locked="0" defaultSize="0" autoLine="0" autoPict="0" r:id="rId20">
            <anchor moveWithCells="1">
              <from>
                <xdr:col>13</xdr:col>
                <xdr:colOff>133350</xdr:colOff>
                <xdr:row>17</xdr:row>
                <xdr:rowOff>9525</xdr:rowOff>
              </from>
              <to>
                <xdr:col>13</xdr:col>
                <xdr:colOff>381000</xdr:colOff>
                <xdr:row>18</xdr:row>
                <xdr:rowOff>152400</xdr:rowOff>
              </to>
            </anchor>
          </controlPr>
        </control>
      </mc:Choice>
      <mc:Fallback>
        <control shapeId="1296" r:id="rId19" name="RubberBand"/>
      </mc:Fallback>
    </mc:AlternateContent>
    <mc:AlternateContent xmlns:mc="http://schemas.openxmlformats.org/markup-compatibility/2006">
      <mc:Choice Requires="x14">
        <control shapeId="1295" r:id="rId21" name="Pens">
          <controlPr locked="0" defaultSize="0" autoLine="0" autoPict="0" r:id="rId22">
            <anchor moveWithCells="1">
              <from>
                <xdr:col>14</xdr:col>
                <xdr:colOff>523875</xdr:colOff>
                <xdr:row>20</xdr:row>
                <xdr:rowOff>85725</xdr:rowOff>
              </from>
              <to>
                <xdr:col>15</xdr:col>
                <xdr:colOff>400050</xdr:colOff>
                <xdr:row>22</xdr:row>
                <xdr:rowOff>152400</xdr:rowOff>
              </to>
            </anchor>
          </controlPr>
        </control>
      </mc:Choice>
      <mc:Fallback>
        <control shapeId="1295" r:id="rId21" name="Pens"/>
      </mc:Fallback>
    </mc:AlternateContent>
    <mc:AlternateContent xmlns:mc="http://schemas.openxmlformats.org/markup-compatibility/2006">
      <mc:Choice Requires="x14">
        <control shapeId="1294" r:id="rId23" name="Papers">
          <controlPr locked="0" defaultSize="0" autoLine="0" autoPict="0" r:id="rId24">
            <anchor moveWithCells="1">
              <from>
                <xdr:col>16</xdr:col>
                <xdr:colOff>123825</xdr:colOff>
                <xdr:row>16</xdr:row>
                <xdr:rowOff>66675</xdr:rowOff>
              </from>
              <to>
                <xdr:col>17</xdr:col>
                <xdr:colOff>47625</xdr:colOff>
                <xdr:row>19</xdr:row>
                <xdr:rowOff>104775</xdr:rowOff>
              </to>
            </anchor>
          </controlPr>
        </control>
      </mc:Choice>
      <mc:Fallback>
        <control shapeId="1294" r:id="rId23" name="Papers"/>
      </mc:Fallback>
    </mc:AlternateContent>
    <mc:AlternateContent xmlns:mc="http://schemas.openxmlformats.org/markup-compatibility/2006">
      <mc:Choice Requires="x14">
        <control shapeId="1293" r:id="rId25" name="Telephones">
          <controlPr locked="0" defaultSize="0" autoLine="0" autoPict="0" r:id="rId26">
            <anchor moveWithCells="1">
              <from>
                <xdr:col>22</xdr:col>
                <xdr:colOff>466725</xdr:colOff>
                <xdr:row>18</xdr:row>
                <xdr:rowOff>114300</xdr:rowOff>
              </from>
              <to>
                <xdr:col>24</xdr:col>
                <xdr:colOff>161925</xdr:colOff>
                <xdr:row>24</xdr:row>
                <xdr:rowOff>123825</xdr:rowOff>
              </to>
            </anchor>
          </controlPr>
        </control>
      </mc:Choice>
      <mc:Fallback>
        <control shapeId="1293" r:id="rId25" name="Telephones"/>
      </mc:Fallback>
    </mc:AlternateContent>
    <mc:AlternateContent xmlns:mc="http://schemas.openxmlformats.org/markup-compatibility/2006">
      <mc:Choice Requires="x14">
        <control shapeId="1292" r:id="rId27" name="OfficeFurn">
          <controlPr locked="0" defaultSize="0" autoLine="0" autoPict="0" r:id="rId28">
            <anchor moveWithCells="1">
              <from>
                <xdr:col>20</xdr:col>
                <xdr:colOff>133350</xdr:colOff>
                <xdr:row>17</xdr:row>
                <xdr:rowOff>152400</xdr:rowOff>
              </from>
              <to>
                <xdr:col>21</xdr:col>
                <xdr:colOff>238125</xdr:colOff>
                <xdr:row>22</xdr:row>
                <xdr:rowOff>9525</xdr:rowOff>
              </to>
            </anchor>
          </controlPr>
        </control>
      </mc:Choice>
      <mc:Fallback>
        <control shapeId="1292" r:id="rId27" name="OfficeFurn"/>
      </mc:Fallback>
    </mc:AlternateContent>
    <mc:AlternateContent xmlns:mc="http://schemas.openxmlformats.org/markup-compatibility/2006">
      <mc:Choice Requires="x14">
        <control shapeId="1291" r:id="rId29" name="OfficeMachine">
          <controlPr locked="0" defaultSize="0" autoLine="0" r:id="rId30">
            <anchor moveWithCells="1">
              <from>
                <xdr:col>17</xdr:col>
                <xdr:colOff>533400</xdr:colOff>
                <xdr:row>10</xdr:row>
                <xdr:rowOff>57150</xdr:rowOff>
              </from>
              <to>
                <xdr:col>19</xdr:col>
                <xdr:colOff>590550</xdr:colOff>
                <xdr:row>18</xdr:row>
                <xdr:rowOff>19050</xdr:rowOff>
              </to>
            </anchor>
          </controlPr>
        </control>
      </mc:Choice>
      <mc:Fallback>
        <control shapeId="1291" r:id="rId29" name="OfficeMachine"/>
      </mc:Fallback>
    </mc:AlternateContent>
    <mc:AlternateContent xmlns:mc="http://schemas.openxmlformats.org/markup-compatibility/2006">
      <mc:Choice Requires="x14">
        <control shapeId="1089" r:id="rId31" name="Bookcases">
          <controlPr locked="0" defaultSize="0" autoLine="0" autoPict="0" r:id="rId32">
            <anchor moveWithCells="1">
              <from>
                <xdr:col>12</xdr:col>
                <xdr:colOff>238125</xdr:colOff>
                <xdr:row>48</xdr:row>
                <xdr:rowOff>123825</xdr:rowOff>
              </from>
              <to>
                <xdr:col>13</xdr:col>
                <xdr:colOff>342900</xdr:colOff>
                <xdr:row>53</xdr:row>
                <xdr:rowOff>0</xdr:rowOff>
              </to>
            </anchor>
          </controlPr>
        </control>
      </mc:Choice>
      <mc:Fallback>
        <control shapeId="1089" r:id="rId31" name="Bookcases"/>
      </mc:Fallback>
    </mc:AlternateContent>
    <mc:AlternateContent xmlns:mc="http://schemas.openxmlformats.org/markup-compatibility/2006">
      <mc:Choice Requires="x14">
        <control shapeId="1088" r:id="rId33" name="Appliances">
          <controlPr locked="0" defaultSize="0" autoLine="0" autoPict="0" r:id="rId34">
            <anchor moveWithCells="1">
              <from>
                <xdr:col>11</xdr:col>
                <xdr:colOff>66675</xdr:colOff>
                <xdr:row>44</xdr:row>
                <xdr:rowOff>0</xdr:rowOff>
              </from>
              <to>
                <xdr:col>12</xdr:col>
                <xdr:colOff>104775</xdr:colOff>
                <xdr:row>47</xdr:row>
                <xdr:rowOff>114300</xdr:rowOff>
              </to>
            </anchor>
          </controlPr>
        </control>
      </mc:Choice>
      <mc:Fallback>
        <control shapeId="1088" r:id="rId33" name="Appliances"/>
      </mc:Fallback>
    </mc:AlternateContent>
    <mc:AlternateContent xmlns:mc="http://schemas.openxmlformats.org/markup-compatibility/2006">
      <mc:Choice Requires="x14">
        <control shapeId="1087" r:id="rId35" name="BindersandBinderAccessories">
          <controlPr locked="0" defaultSize="0" autoLine="0" r:id="rId36">
            <anchor moveWithCells="1">
              <from>
                <xdr:col>13</xdr:col>
                <xdr:colOff>342900</xdr:colOff>
                <xdr:row>42</xdr:row>
                <xdr:rowOff>104775</xdr:rowOff>
              </from>
              <to>
                <xdr:col>15</xdr:col>
                <xdr:colOff>66675</xdr:colOff>
                <xdr:row>48</xdr:row>
                <xdr:rowOff>66675</xdr:rowOff>
              </to>
            </anchor>
          </controlPr>
        </control>
      </mc:Choice>
      <mc:Fallback>
        <control shapeId="1087" r:id="rId35" name="BindersandBinderAccessories"/>
      </mc:Fallback>
    </mc:AlternateContent>
    <mc:AlternateContent xmlns:mc="http://schemas.openxmlformats.org/markup-compatibility/2006">
      <mc:Choice Requires="x14">
        <control shapeId="1086" r:id="rId37" name="ChairsandChairmats">
          <controlPr locked="0" defaultSize="0" autoLine="0" r:id="rId38">
            <anchor moveWithCells="1">
              <from>
                <xdr:col>16</xdr:col>
                <xdr:colOff>381000</xdr:colOff>
                <xdr:row>42</xdr:row>
                <xdr:rowOff>38100</xdr:rowOff>
              </from>
              <to>
                <xdr:col>18</xdr:col>
                <xdr:colOff>247650</xdr:colOff>
                <xdr:row>49</xdr:row>
                <xdr:rowOff>19050</xdr:rowOff>
              </to>
            </anchor>
          </controlPr>
        </control>
      </mc:Choice>
      <mc:Fallback>
        <control shapeId="1086" r:id="rId37" name="ChairsandChairmats"/>
      </mc:Fallback>
    </mc:AlternateContent>
    <mc:AlternateContent xmlns:mc="http://schemas.openxmlformats.org/markup-compatibility/2006">
      <mc:Choice Requires="x14">
        <control shapeId="1085" r:id="rId39" name="ComputerPeripherals">
          <controlPr locked="0" defaultSize="0" autoLine="0" r:id="rId40">
            <anchor moveWithCells="1">
              <from>
                <xdr:col>19</xdr:col>
                <xdr:colOff>457200</xdr:colOff>
                <xdr:row>45</xdr:row>
                <xdr:rowOff>47625</xdr:rowOff>
              </from>
              <to>
                <xdr:col>20</xdr:col>
                <xdr:colOff>533400</xdr:colOff>
                <xdr:row>49</xdr:row>
                <xdr:rowOff>133350</xdr:rowOff>
              </to>
            </anchor>
          </controlPr>
        </control>
      </mc:Choice>
      <mc:Fallback>
        <control shapeId="1085" r:id="rId39" name="ComputerPeripherals"/>
      </mc:Fallback>
    </mc:AlternateContent>
    <mc:AlternateContent xmlns:mc="http://schemas.openxmlformats.org/markup-compatibility/2006">
      <mc:Choice Requires="x14">
        <control shapeId="1084" r:id="rId41" name="CopiersandFax">
          <controlPr locked="0" defaultSize="0" autoLine="0" r:id="rId42">
            <anchor moveWithCells="1">
              <from>
                <xdr:col>20</xdr:col>
                <xdr:colOff>123825</xdr:colOff>
                <xdr:row>36</xdr:row>
                <xdr:rowOff>95250</xdr:rowOff>
              </from>
              <to>
                <xdr:col>21</xdr:col>
                <xdr:colOff>200025</xdr:colOff>
                <xdr:row>42</xdr:row>
                <xdr:rowOff>85725</xdr:rowOff>
              </to>
            </anchor>
          </controlPr>
        </control>
      </mc:Choice>
      <mc:Fallback>
        <control shapeId="1084" r:id="rId41" name="CopiersandFax"/>
      </mc:Fallback>
    </mc:AlternateContent>
    <mc:AlternateContent xmlns:mc="http://schemas.openxmlformats.org/markup-compatibility/2006">
      <mc:Choice Requires="x14">
        <control shapeId="1083" r:id="rId43" name="Tables">
          <controlPr locked="0" defaultSize="0" autoLine="0" autoPict="0" r:id="rId44">
            <anchor moveWithCells="1">
              <from>
                <xdr:col>12</xdr:col>
                <xdr:colOff>114300</xdr:colOff>
                <xdr:row>32</xdr:row>
                <xdr:rowOff>0</xdr:rowOff>
              </from>
              <to>
                <xdr:col>13</xdr:col>
                <xdr:colOff>476250</xdr:colOff>
                <xdr:row>38</xdr:row>
                <xdr:rowOff>9525</xdr:rowOff>
              </to>
            </anchor>
          </controlPr>
        </control>
      </mc:Choice>
      <mc:Fallback>
        <control shapeId="1083" r:id="rId43" name="Tables"/>
      </mc:Fallback>
    </mc:AlternateContent>
    <mc:AlternateContent xmlns:mc="http://schemas.openxmlformats.org/markup-compatibility/2006">
      <mc:Choice Requires="x14">
        <control shapeId="1082" r:id="rId45" name="StorageandOrganization">
          <controlPr locked="0" defaultSize="0" autoLine="0" r:id="rId46">
            <anchor moveWithCells="1">
              <from>
                <xdr:col>10</xdr:col>
                <xdr:colOff>476250</xdr:colOff>
                <xdr:row>25</xdr:row>
                <xdr:rowOff>142875</xdr:rowOff>
              </from>
              <to>
                <xdr:col>12</xdr:col>
                <xdr:colOff>190500</xdr:colOff>
                <xdr:row>31</xdr:row>
                <xdr:rowOff>133350</xdr:rowOff>
              </to>
            </anchor>
          </controlPr>
        </control>
      </mc:Choice>
      <mc:Fallback>
        <control shapeId="1082" r:id="rId45" name="StorageandOrganization"/>
      </mc:Fallback>
    </mc:AlternateContent>
    <mc:AlternateContent xmlns:mc="http://schemas.openxmlformats.org/markup-compatibility/2006">
      <mc:Choice Requires="x14">
        <control shapeId="1081" r:id="rId47" name="Envelopes">
          <controlPr locked="0" defaultSize="0" autoLine="0" r:id="rId48">
            <anchor moveWithCells="1">
              <from>
                <xdr:col>22</xdr:col>
                <xdr:colOff>438150</xdr:colOff>
                <xdr:row>31</xdr:row>
                <xdr:rowOff>0</xdr:rowOff>
              </from>
              <to>
                <xdr:col>23</xdr:col>
                <xdr:colOff>180975</xdr:colOff>
                <xdr:row>34</xdr:row>
                <xdr:rowOff>95250</xdr:rowOff>
              </to>
            </anchor>
          </controlPr>
        </control>
      </mc:Choice>
      <mc:Fallback>
        <control shapeId="1081" r:id="rId47" name="Envelopes"/>
      </mc:Fallback>
    </mc:AlternateContent>
    <mc:AlternateContent xmlns:mc="http://schemas.openxmlformats.org/markup-compatibility/2006">
      <mc:Choice Requires="x14">
        <control shapeId="1080" r:id="rId49" name="LabelsProduct">
          <controlPr locked="0" defaultSize="0" autoLine="0" r:id="rId50">
            <anchor moveWithCells="1">
              <from>
                <xdr:col>20</xdr:col>
                <xdr:colOff>257175</xdr:colOff>
                <xdr:row>24</xdr:row>
                <xdr:rowOff>114300</xdr:rowOff>
              </from>
              <to>
                <xdr:col>21</xdr:col>
                <xdr:colOff>9525</xdr:colOff>
                <xdr:row>28</xdr:row>
                <xdr:rowOff>57150</xdr:rowOff>
              </to>
            </anchor>
          </controlPr>
        </control>
      </mc:Choice>
      <mc:Fallback>
        <control shapeId="1080" r:id="rId49" name="LabelsProduct"/>
      </mc:Fallback>
    </mc:AlternateContent>
    <mc:AlternateContent xmlns:mc="http://schemas.openxmlformats.org/markup-compatibility/2006">
      <mc:Choice Requires="x14">
        <control shapeId="1079" r:id="rId51" name="ScissorsRulersandTrimmers">
          <controlPr locked="0" defaultSize="0" autoLine="0" r:id="rId52">
            <anchor moveWithCells="1">
              <from>
                <xdr:col>12</xdr:col>
                <xdr:colOff>142875</xdr:colOff>
                <xdr:row>21</xdr:row>
                <xdr:rowOff>152400</xdr:rowOff>
              </from>
              <to>
                <xdr:col>12</xdr:col>
                <xdr:colOff>438150</xdr:colOff>
                <xdr:row>24</xdr:row>
                <xdr:rowOff>95250</xdr:rowOff>
              </to>
            </anchor>
          </controlPr>
        </control>
      </mc:Choice>
      <mc:Fallback>
        <control shapeId="1079" r:id="rId51" name="ScissorsRulersandTrimmers"/>
      </mc:Fallback>
    </mc:AlternateContent>
    <mc:AlternateContent xmlns:mc="http://schemas.openxmlformats.org/markup-compatibility/2006">
      <mc:Choice Requires="x14">
        <control shapeId="1078" r:id="rId53" name="RubberBands">
          <controlPr locked="0" defaultSize="0" autoLine="0" r:id="rId54">
            <anchor moveWithCells="1">
              <from>
                <xdr:col>13</xdr:col>
                <xdr:colOff>85725</xdr:colOff>
                <xdr:row>16</xdr:row>
                <xdr:rowOff>133350</xdr:rowOff>
              </from>
              <to>
                <xdr:col>13</xdr:col>
                <xdr:colOff>390525</xdr:colOff>
                <xdr:row>19</xdr:row>
                <xdr:rowOff>19050</xdr:rowOff>
              </to>
            </anchor>
          </controlPr>
        </control>
      </mc:Choice>
      <mc:Fallback>
        <control shapeId="1078" r:id="rId53" name="RubberBands"/>
      </mc:Fallback>
    </mc:AlternateContent>
    <mc:AlternateContent xmlns:mc="http://schemas.openxmlformats.org/markup-compatibility/2006">
      <mc:Choice Requires="x14">
        <control shapeId="1077" r:id="rId55" name="PensAndArtSupplies">
          <controlPr locked="0" defaultSize="0" autoLine="0" r:id="rId56">
            <anchor moveWithCells="1">
              <from>
                <xdr:col>14</xdr:col>
                <xdr:colOff>542925</xdr:colOff>
                <xdr:row>19</xdr:row>
                <xdr:rowOff>85725</xdr:rowOff>
              </from>
              <to>
                <xdr:col>15</xdr:col>
                <xdr:colOff>333375</xdr:colOff>
                <xdr:row>23</xdr:row>
                <xdr:rowOff>19050</xdr:rowOff>
              </to>
            </anchor>
          </controlPr>
        </control>
      </mc:Choice>
      <mc:Fallback>
        <control shapeId="1077" r:id="rId55" name="PensAndArtSupplies"/>
      </mc:Fallback>
    </mc:AlternateContent>
    <mc:AlternateContent xmlns:mc="http://schemas.openxmlformats.org/markup-compatibility/2006">
      <mc:Choice Requires="x14">
        <control shapeId="1076" r:id="rId57" name="Paper">
          <controlPr locked="0" defaultSize="0" autoLine="0" r:id="rId58">
            <anchor moveWithCells="1">
              <from>
                <xdr:col>16</xdr:col>
                <xdr:colOff>85725</xdr:colOff>
                <xdr:row>15</xdr:row>
                <xdr:rowOff>9525</xdr:rowOff>
              </from>
              <to>
                <xdr:col>17</xdr:col>
                <xdr:colOff>47625</xdr:colOff>
                <xdr:row>19</xdr:row>
                <xdr:rowOff>123825</xdr:rowOff>
              </to>
            </anchor>
          </controlPr>
        </control>
      </mc:Choice>
      <mc:Fallback>
        <control shapeId="1076" r:id="rId57" name="Paper"/>
      </mc:Fallback>
    </mc:AlternateContent>
    <mc:AlternateContent xmlns:mc="http://schemas.openxmlformats.org/markup-compatibility/2006">
      <mc:Choice Requires="x14">
        <control shapeId="1068" r:id="rId59" name="TelephonesAndCommunication">
          <controlPr locked="0" defaultSize="0" autoLine="0" r:id="rId60">
            <anchor moveWithCells="1">
              <from>
                <xdr:col>22</xdr:col>
                <xdr:colOff>400050</xdr:colOff>
                <xdr:row>18</xdr:row>
                <xdr:rowOff>114300</xdr:rowOff>
              </from>
              <to>
                <xdr:col>24</xdr:col>
                <xdr:colOff>142875</xdr:colOff>
                <xdr:row>24</xdr:row>
                <xdr:rowOff>104775</xdr:rowOff>
              </to>
            </anchor>
          </controlPr>
        </control>
      </mc:Choice>
      <mc:Fallback>
        <control shapeId="1068" r:id="rId59" name="TelephonesAndCommunication"/>
      </mc:Fallback>
    </mc:AlternateContent>
    <mc:AlternateContent xmlns:mc="http://schemas.openxmlformats.org/markup-compatibility/2006">
      <mc:Choice Requires="x14">
        <control shapeId="1064" r:id="rId61" name="OfficeFurnishings">
          <controlPr locked="0" defaultSize="0" autoLine="0" r:id="rId62">
            <anchor moveWithCells="1">
              <from>
                <xdr:col>20</xdr:col>
                <xdr:colOff>114300</xdr:colOff>
                <xdr:row>17</xdr:row>
                <xdr:rowOff>114300</xdr:rowOff>
              </from>
              <to>
                <xdr:col>21</xdr:col>
                <xdr:colOff>142875</xdr:colOff>
                <xdr:row>22</xdr:row>
                <xdr:rowOff>28575</xdr:rowOff>
              </to>
            </anchor>
          </controlPr>
        </control>
      </mc:Choice>
      <mc:Fallback>
        <control shapeId="1064" r:id="rId61" name="OfficeFurnishings"/>
      </mc:Fallback>
    </mc:AlternateContent>
    <mc:AlternateContent xmlns:mc="http://schemas.openxmlformats.org/markup-compatibility/2006">
      <mc:Choice Requires="x14">
        <control shapeId="1059" r:id="rId63" name="Hide">
          <controlPr locked="0" defaultSize="0" autoLine="0" autoPict="0" r:id="rId64">
            <anchor moveWithCells="1">
              <from>
                <xdr:col>8</xdr:col>
                <xdr:colOff>295275</xdr:colOff>
                <xdr:row>3</xdr:row>
                <xdr:rowOff>47625</xdr:rowOff>
              </from>
              <to>
                <xdr:col>26</xdr:col>
                <xdr:colOff>133350</xdr:colOff>
                <xdr:row>56</xdr:row>
                <xdr:rowOff>19050</xdr:rowOff>
              </to>
            </anchor>
          </controlPr>
        </control>
      </mc:Choice>
      <mc:Fallback>
        <control shapeId="1059" r:id="rId63" name="Hide"/>
      </mc:Fallback>
    </mc:AlternateContent>
    <mc:AlternateContent xmlns:mc="http://schemas.openxmlformats.org/markup-compatibility/2006">
      <mc:Choice Requires="x14">
        <control shapeId="1033" r:id="rId65" name="OfficeMachines">
          <controlPr locked="0" defaultSize="0" autoLine="0" r:id="rId66">
            <anchor moveWithCells="1">
              <from>
                <xdr:col>17</xdr:col>
                <xdr:colOff>523875</xdr:colOff>
                <xdr:row>10</xdr:row>
                <xdr:rowOff>85725</xdr:rowOff>
              </from>
              <to>
                <xdr:col>19</xdr:col>
                <xdr:colOff>533400</xdr:colOff>
                <xdr:row>18</xdr:row>
                <xdr:rowOff>19050</xdr:rowOff>
              </to>
            </anchor>
          </controlPr>
        </control>
      </mc:Choice>
      <mc:Fallback>
        <control shapeId="1033" r:id="rId65" name="OfficeMachines"/>
      </mc:Fallback>
    </mc:AlternateContent>
  </controls>
  <extLst>
    <ext xmlns:x14="http://schemas.microsoft.com/office/spreadsheetml/2009/9/main" uri="{A8765BA9-456A-4dab-B4F3-ACF838C121DE}">
      <x14:slicerList>
        <x14:slicer r:id="rId6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96A70-7373-4AED-BBBF-A5F1197F43CF}">
  <sheetPr codeName="Sheet2">
    <tabColor theme="3"/>
  </sheetPr>
  <dimension ref="A1:AI181"/>
  <sheetViews>
    <sheetView showGridLines="0" showRowColHeaders="0" workbookViewId="0">
      <selection activeCell="A41" sqref="A41"/>
    </sheetView>
  </sheetViews>
  <sheetFormatPr defaultRowHeight="12.75" x14ac:dyDescent="0.2"/>
  <cols>
    <col min="1" max="16384" width="9.140625" style="2"/>
  </cols>
  <sheetData>
    <row r="1" spans="1:35" x14ac:dyDescent="0.2">
      <c r="A1" s="10"/>
    </row>
    <row r="5" spans="1:35" x14ac:dyDescent="0.2">
      <c r="AD5" s="17">
        <v>1</v>
      </c>
    </row>
    <row r="6" spans="1:35" x14ac:dyDescent="0.2">
      <c r="I6" s="7"/>
    </row>
    <row r="9" spans="1:35" x14ac:dyDescent="0.2">
      <c r="AI9" s="11"/>
    </row>
    <row r="10" spans="1:35" x14ac:dyDescent="0.2">
      <c r="AI10" s="11"/>
    </row>
    <row r="11" spans="1:35" x14ac:dyDescent="0.2">
      <c r="AI11" s="11"/>
    </row>
    <row r="12" spans="1:35" x14ac:dyDescent="0.2">
      <c r="AI12" s="11"/>
    </row>
    <row r="13" spans="1:35" x14ac:dyDescent="0.2">
      <c r="AI13" s="11"/>
    </row>
    <row r="14" spans="1:35" x14ac:dyDescent="0.2">
      <c r="AI14" s="11"/>
    </row>
    <row r="15" spans="1:35" x14ac:dyDescent="0.2">
      <c r="AI15" s="11"/>
    </row>
    <row r="16" spans="1:35" x14ac:dyDescent="0.2">
      <c r="AI16" s="11"/>
    </row>
    <row r="17" spans="35:35" x14ac:dyDescent="0.2">
      <c r="AI17" s="11"/>
    </row>
    <row r="18" spans="35:35" x14ac:dyDescent="0.2">
      <c r="AI18" s="11"/>
    </row>
    <row r="19" spans="35:35" x14ac:dyDescent="0.2">
      <c r="AI19" s="11"/>
    </row>
    <row r="20" spans="35:35" x14ac:dyDescent="0.2">
      <c r="AI20" s="11"/>
    </row>
    <row r="21" spans="35:35" x14ac:dyDescent="0.2">
      <c r="AI21" s="11"/>
    </row>
    <row r="22" spans="35:35" x14ac:dyDescent="0.2">
      <c r="AI22" s="11"/>
    </row>
    <row r="23" spans="35:35" x14ac:dyDescent="0.2">
      <c r="AI23" s="11"/>
    </row>
    <row r="24" spans="35:35" x14ac:dyDescent="0.2">
      <c r="AI24" s="11"/>
    </row>
    <row r="34" spans="2:29" ht="15" x14ac:dyDescent="0.2">
      <c r="B34" s="12"/>
      <c r="C34" s="12"/>
      <c r="D34" s="12"/>
      <c r="E34" s="12"/>
      <c r="F34" s="13"/>
      <c r="G34" s="13"/>
      <c r="H34" s="12"/>
      <c r="I34" s="12"/>
      <c r="J34" s="12"/>
      <c r="K34" s="12"/>
      <c r="L34" s="12"/>
      <c r="M34" s="13"/>
      <c r="N34" s="13"/>
      <c r="O34" s="12"/>
      <c r="P34" s="12"/>
      <c r="Q34" s="12"/>
      <c r="R34" s="12"/>
      <c r="S34" s="12"/>
      <c r="T34" s="12"/>
      <c r="U34" s="13"/>
      <c r="V34" s="13"/>
      <c r="W34" s="12"/>
      <c r="X34" s="12"/>
      <c r="Y34" s="12"/>
      <c r="Z34" s="12"/>
      <c r="AA34" s="12"/>
      <c r="AB34" s="12"/>
      <c r="AC34" s="18">
        <v>2</v>
      </c>
    </row>
    <row r="35" spans="2:29" ht="15" x14ac:dyDescent="0.2">
      <c r="B35" s="12"/>
      <c r="C35" s="12"/>
      <c r="D35" s="12"/>
      <c r="E35" s="12"/>
      <c r="F35" s="13"/>
      <c r="G35" s="13"/>
      <c r="H35" s="12"/>
      <c r="L35" s="12"/>
      <c r="M35" s="12"/>
      <c r="N35" s="12"/>
      <c r="O35" s="12"/>
      <c r="P35" s="12"/>
      <c r="Q35" s="12"/>
      <c r="R35" s="12"/>
      <c r="S35" s="12"/>
      <c r="T35" s="12"/>
      <c r="U35" s="13"/>
      <c r="V35" s="13"/>
      <c r="W35" s="12"/>
      <c r="X35" s="12"/>
      <c r="Y35" s="12"/>
      <c r="Z35" s="12"/>
      <c r="AA35" s="12"/>
      <c r="AB35" s="12"/>
      <c r="AC35" s="12"/>
    </row>
    <row r="36" spans="2:29" ht="15" x14ac:dyDescent="0.2">
      <c r="B36" s="12"/>
      <c r="C36" s="12"/>
      <c r="D36" s="12"/>
      <c r="E36" s="12"/>
      <c r="F36" s="13"/>
      <c r="G36" s="13"/>
      <c r="H36" s="12"/>
      <c r="L36" s="12"/>
      <c r="M36" s="12"/>
      <c r="N36" s="12"/>
      <c r="O36" s="12"/>
      <c r="P36" s="12"/>
      <c r="Q36" s="12"/>
      <c r="R36" s="12"/>
      <c r="S36" s="12"/>
      <c r="T36" s="12"/>
      <c r="U36" s="13"/>
      <c r="V36" s="13"/>
      <c r="W36" s="12"/>
      <c r="X36" s="12"/>
      <c r="Y36" s="12"/>
      <c r="Z36" s="12"/>
      <c r="AA36" s="12"/>
      <c r="AB36" s="12"/>
      <c r="AC36" s="12"/>
    </row>
    <row r="37" spans="2:29" ht="15" x14ac:dyDescent="0.2">
      <c r="B37" s="12"/>
      <c r="C37" s="12"/>
      <c r="D37" s="12"/>
      <c r="E37" s="12"/>
      <c r="F37" s="13"/>
      <c r="G37" s="13"/>
      <c r="H37" s="12"/>
      <c r="L37" s="12"/>
      <c r="M37" s="12"/>
      <c r="N37" s="12"/>
      <c r="O37" s="12"/>
      <c r="P37" s="12"/>
      <c r="Q37" s="12"/>
      <c r="R37" s="12"/>
      <c r="S37" s="12"/>
      <c r="T37" s="12"/>
      <c r="U37" s="13"/>
      <c r="V37" s="13"/>
      <c r="W37" s="12"/>
      <c r="X37" s="12"/>
      <c r="Y37" s="12"/>
      <c r="Z37" s="12"/>
      <c r="AA37" s="12"/>
      <c r="AB37" s="12"/>
      <c r="AC37" s="12"/>
    </row>
    <row r="38" spans="2:29" ht="15" x14ac:dyDescent="0.2">
      <c r="B38" s="12"/>
      <c r="C38" s="12"/>
      <c r="D38" s="12"/>
      <c r="E38" s="12"/>
      <c r="F38" s="13"/>
      <c r="G38" s="13"/>
      <c r="H38" s="12"/>
      <c r="L38" s="12"/>
      <c r="M38" s="12"/>
      <c r="N38" s="12"/>
      <c r="O38" s="12"/>
      <c r="P38" s="12"/>
      <c r="Q38" s="12"/>
      <c r="R38" s="12"/>
      <c r="S38" s="12"/>
      <c r="T38" s="12"/>
      <c r="U38" s="13"/>
      <c r="V38" s="13"/>
      <c r="W38" s="12"/>
      <c r="X38" s="12"/>
      <c r="Y38" s="12"/>
      <c r="Z38" s="12"/>
      <c r="AA38" s="12"/>
      <c r="AB38" s="12"/>
      <c r="AC38" s="12"/>
    </row>
    <row r="39" spans="2:29" ht="15" x14ac:dyDescent="0.2">
      <c r="B39" s="12"/>
      <c r="C39" s="12"/>
      <c r="D39" s="12"/>
      <c r="E39" s="12"/>
      <c r="F39" s="13"/>
      <c r="G39" s="13"/>
      <c r="H39" s="12"/>
      <c r="L39" s="12"/>
      <c r="M39" s="12"/>
      <c r="N39" s="12"/>
      <c r="O39" s="12"/>
      <c r="P39" s="12"/>
      <c r="Q39" s="12"/>
      <c r="R39" s="12"/>
      <c r="S39" s="12"/>
      <c r="T39" s="12"/>
      <c r="U39" s="13"/>
      <c r="V39" s="13"/>
      <c r="W39" s="12"/>
      <c r="X39" s="12"/>
      <c r="Y39" s="12"/>
      <c r="Z39" s="12"/>
      <c r="AA39" s="12"/>
      <c r="AB39" s="12"/>
      <c r="AC39" s="12"/>
    </row>
    <row r="40" spans="2:29" ht="15" x14ac:dyDescent="0.2">
      <c r="B40" s="12"/>
      <c r="C40" s="12"/>
      <c r="D40" s="12"/>
      <c r="E40" s="12"/>
      <c r="F40" s="13"/>
      <c r="G40" s="13"/>
      <c r="H40" s="12"/>
      <c r="L40" s="12"/>
      <c r="M40" s="12"/>
      <c r="N40" s="12"/>
      <c r="O40" s="12"/>
      <c r="P40" s="12"/>
      <c r="Q40" s="12"/>
      <c r="R40" s="12"/>
      <c r="S40" s="12"/>
      <c r="T40" s="12"/>
      <c r="U40" s="13"/>
      <c r="V40" s="13"/>
      <c r="W40" s="12"/>
      <c r="X40" s="12"/>
      <c r="Y40" s="12"/>
      <c r="Z40" s="12"/>
      <c r="AA40" s="12"/>
      <c r="AB40" s="12"/>
      <c r="AC40" s="12"/>
    </row>
    <row r="41" spans="2:29" ht="15" x14ac:dyDescent="0.2">
      <c r="B41" s="12"/>
      <c r="C41" s="12"/>
      <c r="D41" s="12"/>
      <c r="E41" s="12"/>
      <c r="F41" s="13"/>
      <c r="G41" s="13"/>
      <c r="H41" s="12"/>
      <c r="L41" s="12"/>
      <c r="M41" s="12"/>
      <c r="N41" s="12"/>
      <c r="O41" s="12"/>
      <c r="P41" s="12"/>
      <c r="Q41" s="12"/>
      <c r="R41" s="12"/>
      <c r="S41" s="12"/>
      <c r="T41" s="12"/>
      <c r="U41" s="13"/>
      <c r="V41" s="13"/>
      <c r="W41" s="12"/>
      <c r="X41" s="12"/>
      <c r="Y41" s="12"/>
      <c r="Z41" s="12"/>
      <c r="AA41" s="12"/>
      <c r="AB41" s="12"/>
      <c r="AC41" s="12"/>
    </row>
    <row r="42" spans="2:29" ht="15" x14ac:dyDescent="0.2">
      <c r="B42" s="12"/>
      <c r="C42" s="12"/>
      <c r="D42" s="12"/>
      <c r="E42" s="12"/>
      <c r="F42" s="13"/>
      <c r="G42" s="13"/>
      <c r="H42" s="12"/>
      <c r="L42" s="12"/>
      <c r="M42" s="12"/>
      <c r="N42" s="12"/>
      <c r="O42" s="12"/>
      <c r="P42" s="12"/>
      <c r="Q42" s="12"/>
      <c r="R42" s="12"/>
      <c r="S42" s="12"/>
      <c r="T42" s="12"/>
      <c r="U42" s="13"/>
      <c r="V42" s="13"/>
      <c r="W42" s="12"/>
      <c r="X42" s="12"/>
      <c r="Y42" s="12"/>
      <c r="Z42" s="12"/>
      <c r="AA42" s="12"/>
      <c r="AB42" s="12"/>
      <c r="AC42" s="12"/>
    </row>
    <row r="43" spans="2:29" ht="15" x14ac:dyDescent="0.2">
      <c r="B43" s="12"/>
      <c r="C43" s="12"/>
      <c r="D43" s="12"/>
      <c r="E43" s="12"/>
      <c r="F43" s="13"/>
      <c r="G43" s="13"/>
      <c r="H43" s="12"/>
      <c r="L43" s="12"/>
      <c r="M43" s="12"/>
      <c r="N43" s="12"/>
      <c r="O43" s="12"/>
      <c r="P43" s="12"/>
      <c r="Q43" s="12"/>
      <c r="R43" s="12"/>
      <c r="S43" s="12"/>
      <c r="T43" s="12"/>
      <c r="U43" s="13"/>
      <c r="V43" s="13"/>
      <c r="W43" s="12"/>
      <c r="X43" s="12"/>
      <c r="Y43" s="12"/>
      <c r="Z43" s="12"/>
      <c r="AA43" s="12"/>
      <c r="AB43" s="12"/>
      <c r="AC43" s="12"/>
    </row>
    <row r="44" spans="2:29" ht="15" x14ac:dyDescent="0.2">
      <c r="B44" s="12"/>
      <c r="C44" s="12"/>
      <c r="D44" s="12"/>
      <c r="E44" s="12"/>
      <c r="F44" s="13"/>
      <c r="G44" s="13"/>
      <c r="H44" s="12"/>
      <c r="L44" s="12"/>
      <c r="M44" s="12"/>
      <c r="N44" s="12"/>
      <c r="O44" s="12"/>
      <c r="P44" s="12"/>
      <c r="Q44" s="12"/>
      <c r="R44" s="12"/>
      <c r="S44" s="12"/>
      <c r="T44" s="12"/>
      <c r="U44" s="13"/>
      <c r="V44" s="13"/>
      <c r="W44" s="12"/>
      <c r="X44" s="12"/>
      <c r="Y44" s="12"/>
      <c r="Z44" s="12"/>
      <c r="AA44" s="12"/>
      <c r="AB44" s="12"/>
      <c r="AC44" s="12"/>
    </row>
    <row r="45" spans="2:29" ht="15" x14ac:dyDescent="0.2">
      <c r="B45" s="12"/>
      <c r="C45" s="12"/>
      <c r="D45" s="12"/>
      <c r="E45" s="12"/>
      <c r="F45" s="13"/>
      <c r="G45" s="13"/>
      <c r="H45" s="12"/>
      <c r="L45" s="12"/>
      <c r="M45" s="12"/>
      <c r="N45" s="12"/>
      <c r="O45" s="12"/>
      <c r="P45" s="12"/>
      <c r="Q45" s="12"/>
      <c r="R45" s="12"/>
      <c r="S45" s="12"/>
      <c r="T45" s="12"/>
      <c r="U45" s="13"/>
      <c r="V45" s="13"/>
      <c r="W45" s="12"/>
      <c r="X45" s="12"/>
      <c r="Y45" s="12"/>
      <c r="Z45" s="12"/>
      <c r="AA45" s="12"/>
      <c r="AB45" s="12"/>
      <c r="AC45" s="12"/>
    </row>
    <row r="46" spans="2:29" ht="15" x14ac:dyDescent="0.2">
      <c r="B46" s="12"/>
      <c r="C46" s="12"/>
      <c r="D46" s="12"/>
      <c r="E46" s="12"/>
      <c r="F46" s="13"/>
      <c r="G46" s="13"/>
      <c r="H46" s="12"/>
      <c r="L46" s="12"/>
      <c r="M46" s="12"/>
      <c r="N46" s="12"/>
      <c r="O46" s="12"/>
      <c r="P46" s="12"/>
      <c r="Q46" s="12"/>
      <c r="R46" s="12"/>
      <c r="S46" s="12"/>
      <c r="T46" s="12"/>
      <c r="U46" s="13"/>
      <c r="V46" s="13"/>
      <c r="W46" s="12"/>
      <c r="X46" s="12"/>
      <c r="Y46" s="12"/>
      <c r="Z46" s="12"/>
      <c r="AA46" s="12"/>
      <c r="AB46" s="12"/>
      <c r="AC46" s="12"/>
    </row>
    <row r="47" spans="2:29" ht="15" x14ac:dyDescent="0.2">
      <c r="B47" s="12"/>
      <c r="C47" s="12"/>
      <c r="D47" s="12"/>
      <c r="E47" s="12"/>
      <c r="F47" s="13"/>
      <c r="G47" s="13"/>
      <c r="H47" s="12"/>
      <c r="L47" s="12"/>
      <c r="M47" s="12"/>
      <c r="N47" s="12"/>
      <c r="O47" s="12"/>
      <c r="P47" s="12"/>
      <c r="Q47" s="12"/>
      <c r="R47" s="12"/>
      <c r="S47" s="12"/>
      <c r="T47" s="12"/>
      <c r="U47" s="13"/>
      <c r="V47" s="13"/>
      <c r="W47" s="12"/>
      <c r="X47" s="12"/>
      <c r="Y47" s="12"/>
      <c r="Z47" s="12"/>
      <c r="AA47" s="12"/>
      <c r="AB47" s="12"/>
      <c r="AC47" s="12"/>
    </row>
    <row r="48" spans="2:29" ht="15" x14ac:dyDescent="0.2">
      <c r="B48" s="12"/>
      <c r="C48" s="12"/>
      <c r="D48" s="12"/>
      <c r="E48" s="12"/>
      <c r="F48" s="13"/>
      <c r="G48" s="13"/>
      <c r="H48" s="12"/>
      <c r="L48" s="12"/>
      <c r="M48" s="12"/>
      <c r="N48" s="12"/>
      <c r="O48" s="12"/>
      <c r="P48" s="12"/>
      <c r="Q48" s="12"/>
      <c r="R48" s="12"/>
      <c r="S48" s="12"/>
      <c r="T48" s="12"/>
      <c r="U48" s="13"/>
      <c r="V48" s="13"/>
      <c r="W48" s="12"/>
      <c r="X48" s="12"/>
      <c r="Y48" s="12"/>
      <c r="Z48" s="12"/>
      <c r="AA48" s="12"/>
      <c r="AB48" s="12"/>
      <c r="AC48" s="12"/>
    </row>
    <row r="49" spans="2:29" ht="15" x14ac:dyDescent="0.2">
      <c r="B49" s="12"/>
      <c r="C49" s="12"/>
      <c r="D49" s="12"/>
      <c r="E49" s="12"/>
      <c r="F49" s="13"/>
      <c r="G49" s="13"/>
      <c r="H49" s="12"/>
      <c r="L49" s="12"/>
      <c r="M49" s="12"/>
      <c r="N49" s="12"/>
      <c r="O49" s="12"/>
      <c r="P49" s="12"/>
      <c r="Q49" s="12"/>
      <c r="R49" s="12"/>
      <c r="S49" s="12"/>
      <c r="T49" s="12"/>
      <c r="U49" s="13"/>
      <c r="V49" s="13"/>
      <c r="W49" s="12"/>
      <c r="X49" s="12"/>
      <c r="Y49" s="12"/>
      <c r="Z49" s="12"/>
      <c r="AA49" s="12"/>
      <c r="AB49" s="12"/>
      <c r="AC49" s="12"/>
    </row>
    <row r="50" spans="2:29" ht="15" x14ac:dyDescent="0.2">
      <c r="B50" s="12"/>
      <c r="C50" s="12"/>
      <c r="D50" s="12"/>
      <c r="E50" s="12"/>
      <c r="F50" s="13"/>
      <c r="G50" s="13"/>
      <c r="H50" s="12"/>
      <c r="I50" s="12"/>
      <c r="J50" s="12"/>
      <c r="K50" s="12"/>
      <c r="L50" s="12"/>
      <c r="M50" s="13"/>
      <c r="N50" s="13"/>
      <c r="O50" s="12"/>
      <c r="P50" s="12"/>
      <c r="Q50" s="12"/>
      <c r="R50" s="12"/>
      <c r="S50" s="12"/>
      <c r="T50" s="12"/>
      <c r="U50" s="13"/>
      <c r="V50" s="13"/>
      <c r="W50" s="12"/>
      <c r="X50" s="12"/>
      <c r="Y50" s="12"/>
      <c r="Z50" s="12"/>
      <c r="AA50" s="12"/>
      <c r="AB50" s="12"/>
      <c r="AC50" s="12"/>
    </row>
    <row r="51" spans="2:29" ht="15" x14ac:dyDescent="0.25">
      <c r="B51" s="6"/>
      <c r="C51" s="6"/>
      <c r="D51" s="6"/>
      <c r="E51" s="6"/>
      <c r="F51" s="14"/>
      <c r="G51" s="14"/>
      <c r="H51" s="6"/>
      <c r="I51" s="6"/>
      <c r="J51" s="6"/>
      <c r="K51" s="6"/>
      <c r="L51" s="6"/>
      <c r="M51" s="14"/>
      <c r="N51" s="14"/>
      <c r="O51" s="6"/>
      <c r="P51" s="6"/>
      <c r="Q51" s="6"/>
      <c r="R51" s="6"/>
      <c r="S51" s="6"/>
      <c r="T51" s="6"/>
      <c r="U51" s="14"/>
      <c r="V51" s="14"/>
      <c r="W51" s="6"/>
      <c r="X51" s="6"/>
      <c r="Y51" s="6"/>
      <c r="Z51" s="6"/>
      <c r="AA51" s="6"/>
      <c r="AB51" s="6"/>
      <c r="AC51" s="6"/>
    </row>
    <row r="52" spans="2:29" ht="15" x14ac:dyDescent="0.25">
      <c r="B52" s="6"/>
      <c r="C52" s="6"/>
      <c r="D52" s="6"/>
      <c r="E52" s="6"/>
      <c r="F52" s="14"/>
      <c r="G52" s="14"/>
      <c r="H52" s="6"/>
      <c r="I52" s="6"/>
      <c r="J52" s="6"/>
      <c r="K52" s="6"/>
      <c r="L52" s="6"/>
      <c r="M52" s="14"/>
      <c r="N52" s="14"/>
      <c r="O52" s="6"/>
      <c r="P52" s="6"/>
      <c r="Q52" s="6"/>
      <c r="R52" s="6"/>
      <c r="S52" s="6"/>
      <c r="T52" s="6"/>
      <c r="U52" s="14"/>
      <c r="V52" s="14"/>
      <c r="W52" s="6"/>
      <c r="X52" s="6"/>
      <c r="Y52" s="6"/>
      <c r="Z52" s="6"/>
      <c r="AA52" s="6"/>
      <c r="AB52" s="6"/>
      <c r="AC52" s="6"/>
    </row>
    <row r="53" spans="2:29" ht="15" x14ac:dyDescent="0.25">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row>
    <row r="54" spans="2:29" ht="15" x14ac:dyDescent="0.25">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row>
    <row r="55" spans="2:29" ht="15" x14ac:dyDescent="0.25">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row>
    <row r="56" spans="2:29" ht="15" x14ac:dyDescent="0.25">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row>
    <row r="57" spans="2:29" ht="15" x14ac:dyDescent="0.25">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row>
    <row r="58" spans="2:29" ht="15" x14ac:dyDescent="0.25">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row>
    <row r="59" spans="2:29" ht="15" x14ac:dyDescent="0.25">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row>
    <row r="60" spans="2:29" ht="15" x14ac:dyDescent="0.25">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row>
    <row r="61" spans="2:29" ht="15" x14ac:dyDescent="0.25">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row>
    <row r="62" spans="2:29" ht="15" x14ac:dyDescent="0.25">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row>
    <row r="63" spans="2:29" ht="15" x14ac:dyDescent="0.25">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row>
    <row r="64" spans="2:29" ht="15" x14ac:dyDescent="0.25">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row>
    <row r="65" spans="2:29" ht="15" x14ac:dyDescent="0.25">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row>
    <row r="66" spans="2:29" ht="15" x14ac:dyDescent="0.25">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row>
    <row r="67" spans="2:29" ht="15" x14ac:dyDescent="0.25">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row>
    <row r="68" spans="2:29" ht="15" x14ac:dyDescent="0.25">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row>
    <row r="69" spans="2:29" ht="15" x14ac:dyDescent="0.25">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row>
    <row r="70" spans="2:29" ht="15" x14ac:dyDescent="0.25">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row>
    <row r="71" spans="2:29" ht="15" x14ac:dyDescent="0.25">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row>
    <row r="72" spans="2:29" ht="15" x14ac:dyDescent="0.25">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row>
    <row r="73" spans="2:29" ht="15" x14ac:dyDescent="0.25">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row>
    <row r="74" spans="2:29" ht="15" x14ac:dyDescent="0.25">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row>
    <row r="75" spans="2:29" ht="15" x14ac:dyDescent="0.25">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row>
    <row r="76" spans="2:29" ht="15" x14ac:dyDescent="0.25">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row>
    <row r="77" spans="2:29" ht="15" x14ac:dyDescent="0.25">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row>
    <row r="78" spans="2:29" ht="15" x14ac:dyDescent="0.2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row>
    <row r="79" spans="2:29" ht="15" x14ac:dyDescent="0.25">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row>
    <row r="80" spans="2:29" ht="15" x14ac:dyDescent="0.25">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row>
    <row r="81" spans="2:29" ht="15" x14ac:dyDescent="0.25">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row>
    <row r="82" spans="2:29" ht="15" x14ac:dyDescent="0.25">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row>
    <row r="83" spans="2:29" ht="15" x14ac:dyDescent="0.25">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row>
    <row r="84" spans="2:29" ht="15" x14ac:dyDescent="0.25">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row>
    <row r="85" spans="2:29" ht="15" x14ac:dyDescent="0.25">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row>
    <row r="86" spans="2:29" ht="15" x14ac:dyDescent="0.25">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row>
    <row r="87" spans="2:29" ht="15" x14ac:dyDescent="0.25">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row>
    <row r="88" spans="2:29" ht="15" x14ac:dyDescent="0.25">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row>
    <row r="89" spans="2:29" ht="15" x14ac:dyDescent="0.25">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row>
    <row r="90" spans="2:29" ht="15" x14ac:dyDescent="0.25">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row>
    <row r="91" spans="2:29" ht="15" x14ac:dyDescent="0.25">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row>
    <row r="92" spans="2:29" ht="15" x14ac:dyDescent="0.25">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row>
    <row r="93" spans="2:29" ht="15" x14ac:dyDescent="0.25">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row>
    <row r="94" spans="2:29" ht="15" x14ac:dyDescent="0.25">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row>
    <row r="95" spans="2:29" ht="15" x14ac:dyDescent="0.25">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row>
    <row r="96" spans="2:29" ht="15" x14ac:dyDescent="0.25">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row>
    <row r="97" spans="2:29" ht="15" x14ac:dyDescent="0.25">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row>
    <row r="98" spans="2:29" ht="15" x14ac:dyDescent="0.25">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row>
    <row r="99" spans="2:29" ht="15" x14ac:dyDescent="0.25">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row>
    <row r="100" spans="2:29" ht="15" x14ac:dyDescent="0.25">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row>
    <row r="101" spans="2:29" ht="15" x14ac:dyDescent="0.25">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row>
    <row r="102" spans="2:29" ht="15" x14ac:dyDescent="0.25">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row>
    <row r="103" spans="2:29" ht="15" x14ac:dyDescent="0.25">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row>
    <row r="104" spans="2:29" ht="15" x14ac:dyDescent="0.25">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row>
    <row r="105" spans="2:29" ht="15" x14ac:dyDescent="0.25">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row>
    <row r="106" spans="2:29" ht="15" x14ac:dyDescent="0.25">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row>
    <row r="107" spans="2:29" ht="15" x14ac:dyDescent="0.25">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row>
    <row r="108" spans="2:29" ht="15" x14ac:dyDescent="0.25">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row>
    <row r="109" spans="2:29" ht="15" x14ac:dyDescent="0.25">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row>
    <row r="110" spans="2:29" ht="15" x14ac:dyDescent="0.25">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row>
    <row r="111" spans="2:29" ht="15" x14ac:dyDescent="0.25">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row>
    <row r="112" spans="2:29" ht="15" x14ac:dyDescent="0.25">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row>
    <row r="113" spans="2:29" ht="15" x14ac:dyDescent="0.25">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row>
    <row r="114" spans="2:29" ht="15" x14ac:dyDescent="0.25">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row>
    <row r="115" spans="2:29" ht="15" x14ac:dyDescent="0.25">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row>
    <row r="116" spans="2:29" ht="15" x14ac:dyDescent="0.25">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row>
    <row r="117" spans="2:29" ht="1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row>
    <row r="118" spans="2:29" ht="15" x14ac:dyDescent="0.25">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row>
    <row r="119" spans="2:29" ht="15" x14ac:dyDescent="0.25">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row>
    <row r="120" spans="2:29" ht="15" x14ac:dyDescent="0.25">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row>
    <row r="121" spans="2:29" ht="15" x14ac:dyDescent="0.25">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row>
    <row r="122" spans="2:29" ht="15" x14ac:dyDescent="0.25">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row>
    <row r="123" spans="2:29" ht="15" x14ac:dyDescent="0.25">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row>
    <row r="124" spans="2:29" ht="15" x14ac:dyDescent="0.25">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row>
    <row r="125" spans="2:29" ht="15" x14ac:dyDescent="0.25">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row>
    <row r="126" spans="2:29" ht="15" x14ac:dyDescent="0.25">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row>
    <row r="127" spans="2:29" ht="15" x14ac:dyDescent="0.25">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row>
    <row r="128" spans="2:29" ht="15" x14ac:dyDescent="0.25">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row>
    <row r="129" spans="2:29" ht="15" x14ac:dyDescent="0.25">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row>
    <row r="130" spans="2:29" ht="15" x14ac:dyDescent="0.25">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row>
    <row r="131" spans="2:29" ht="15" x14ac:dyDescent="0.25">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row>
    <row r="132" spans="2:29" ht="15" x14ac:dyDescent="0.25">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row>
    <row r="133" spans="2:29" ht="15" x14ac:dyDescent="0.25">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row>
    <row r="134" spans="2:29" ht="15" x14ac:dyDescent="0.25">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row>
    <row r="135" spans="2:29" ht="15" x14ac:dyDescent="0.25">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row>
    <row r="136" spans="2:29" ht="15" x14ac:dyDescent="0.25">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row>
    <row r="137" spans="2:29" ht="15" x14ac:dyDescent="0.25">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row>
    <row r="138" spans="2:29" ht="15" x14ac:dyDescent="0.25">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row>
    <row r="139" spans="2:29" ht="15" x14ac:dyDescent="0.25">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row>
    <row r="140" spans="2:29" ht="15" x14ac:dyDescent="0.25">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row>
    <row r="141" spans="2:29" ht="15" x14ac:dyDescent="0.25">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row>
    <row r="142" spans="2:29" ht="15" x14ac:dyDescent="0.25">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row>
    <row r="143" spans="2:29" ht="15" x14ac:dyDescent="0.25">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row>
    <row r="144" spans="2:29" ht="15" x14ac:dyDescent="0.25">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row>
    <row r="145" spans="2:29" ht="15" x14ac:dyDescent="0.25">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row>
    <row r="146" spans="2:29" ht="15" x14ac:dyDescent="0.25">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row>
    <row r="147" spans="2:29" ht="15" x14ac:dyDescent="0.25">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row>
    <row r="148" spans="2:29" ht="15" x14ac:dyDescent="0.25">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row>
    <row r="149" spans="2:29" ht="15" x14ac:dyDescent="0.25">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row>
    <row r="150" spans="2:29" ht="15" x14ac:dyDescent="0.25">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row>
    <row r="151" spans="2:29" ht="15" x14ac:dyDescent="0.25">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row>
    <row r="152" spans="2:29" ht="15" x14ac:dyDescent="0.25">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row>
    <row r="153" spans="2:29" ht="15" x14ac:dyDescent="0.25">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row>
    <row r="154" spans="2:29" ht="15" x14ac:dyDescent="0.25">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row>
    <row r="155" spans="2:29" ht="15" x14ac:dyDescent="0.25">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row>
    <row r="156" spans="2:29" ht="15" x14ac:dyDescent="0.25">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row>
    <row r="157" spans="2:29" ht="15" x14ac:dyDescent="0.25">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row>
    <row r="158" spans="2:29" ht="15" x14ac:dyDescent="0.25">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row>
    <row r="159" spans="2:29" ht="15" x14ac:dyDescent="0.25">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row>
    <row r="160" spans="2:29" ht="15" x14ac:dyDescent="0.25">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row>
    <row r="161" spans="2:29" ht="15" x14ac:dyDescent="0.25">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row>
    <row r="162" spans="2:29" ht="15" x14ac:dyDescent="0.25">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row>
    <row r="163" spans="2:29" ht="15" x14ac:dyDescent="0.25">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row>
    <row r="164" spans="2:29" ht="15" x14ac:dyDescent="0.25">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row>
    <row r="165" spans="2:29" ht="15" x14ac:dyDescent="0.25">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row>
    <row r="166" spans="2:29" ht="15" x14ac:dyDescent="0.25">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row>
    <row r="167" spans="2:29" ht="15" x14ac:dyDescent="0.25">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row>
    <row r="168" spans="2:29" ht="15" x14ac:dyDescent="0.25">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row>
    <row r="169" spans="2:29" ht="15" x14ac:dyDescent="0.25">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row>
    <row r="170" spans="2:29" ht="15" x14ac:dyDescent="0.25">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row>
    <row r="171" spans="2:29" ht="15" x14ac:dyDescent="0.25">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row>
    <row r="172" spans="2:29" ht="15" x14ac:dyDescent="0.25">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row>
    <row r="173" spans="2:29" ht="15" x14ac:dyDescent="0.25">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row>
    <row r="174" spans="2:29" ht="15" x14ac:dyDescent="0.25">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row>
    <row r="175" spans="2:29" ht="15" x14ac:dyDescent="0.25">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row>
    <row r="176" spans="2:29" ht="15" x14ac:dyDescent="0.25">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row>
    <row r="177" spans="2:29" ht="15" x14ac:dyDescent="0.25">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row>
    <row r="178" spans="2:29" ht="15" x14ac:dyDescent="0.25">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row>
    <row r="179" spans="2:29" ht="15" x14ac:dyDescent="0.25">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row>
    <row r="180" spans="2:29" ht="15" x14ac:dyDescent="0.25">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row>
    <row r="181" spans="2:29" ht="15" x14ac:dyDescent="0.25">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row>
  </sheetData>
  <sheetProtection algorithmName="SHA-512" hashValue="61b5+MpI+UKUnPTZP7MTqiWMUiWKNRS3qJI9mfyWBzAqoyP1TAUgQvNn+qOwyjN3Bir+ioktxp/YC57SQt1D0g==" saltValue="WfegSomk/L25JognlC7rEQ=="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Group Box 10">
              <controlPr locked="0" defaultSize="0" autoFill="0" autoPict="0">
                <anchor moveWithCells="1">
                  <from>
                    <xdr:col>21</xdr:col>
                    <xdr:colOff>447675</xdr:colOff>
                    <xdr:row>34</xdr:row>
                    <xdr:rowOff>104775</xdr:rowOff>
                  </from>
                  <to>
                    <xdr:col>27</xdr:col>
                    <xdr:colOff>200025</xdr:colOff>
                    <xdr:row>37</xdr:row>
                    <xdr:rowOff>123825</xdr:rowOff>
                  </to>
                </anchor>
              </controlPr>
            </control>
          </mc:Choice>
        </mc:AlternateContent>
        <mc:AlternateContent xmlns:mc="http://schemas.openxmlformats.org/markup-compatibility/2006">
          <mc:Choice Requires="x14">
            <control shapeId="2049" r:id="rId4" name="Group Box 1">
              <controlPr defaultSize="0" autoFill="0" autoPict="0">
                <anchor>
                  <from>
                    <xdr:col>10</xdr:col>
                    <xdr:colOff>333375</xdr:colOff>
                    <xdr:row>3</xdr:row>
                    <xdr:rowOff>38100</xdr:rowOff>
                  </from>
                  <to>
                    <xdr:col>19</xdr:col>
                    <xdr:colOff>9525</xdr:colOff>
                    <xdr:row>6</xdr:row>
                    <xdr:rowOff>95250</xdr:rowOff>
                  </to>
                </anchor>
              </controlPr>
            </control>
          </mc:Choice>
        </mc:AlternateContent>
        <mc:AlternateContent xmlns:mc="http://schemas.openxmlformats.org/markup-compatibility/2006">
          <mc:Choice Requires="x14">
            <control shapeId="2050" r:id="rId5" name="Option Button 2">
              <controlPr defaultSize="0" autoFill="0" autoLine="0" autoPict="0">
                <anchor>
                  <from>
                    <xdr:col>10</xdr:col>
                    <xdr:colOff>561975</xdr:colOff>
                    <xdr:row>4</xdr:row>
                    <xdr:rowOff>38100</xdr:rowOff>
                  </from>
                  <to>
                    <xdr:col>12</xdr:col>
                    <xdr:colOff>533400</xdr:colOff>
                    <xdr:row>5</xdr:row>
                    <xdr:rowOff>123825</xdr:rowOff>
                  </to>
                </anchor>
              </controlPr>
            </control>
          </mc:Choice>
        </mc:AlternateContent>
        <mc:AlternateContent xmlns:mc="http://schemas.openxmlformats.org/markup-compatibility/2006">
          <mc:Choice Requires="x14">
            <control shapeId="2051" r:id="rId6" name="Option Button 3">
              <controlPr defaultSize="0" autoFill="0" autoLine="0" autoPict="0">
                <anchor>
                  <from>
                    <xdr:col>13</xdr:col>
                    <xdr:colOff>190500</xdr:colOff>
                    <xdr:row>4</xdr:row>
                    <xdr:rowOff>28575</xdr:rowOff>
                  </from>
                  <to>
                    <xdr:col>15</xdr:col>
                    <xdr:colOff>190500</xdr:colOff>
                    <xdr:row>5</xdr:row>
                    <xdr:rowOff>123825</xdr:rowOff>
                  </to>
                </anchor>
              </controlPr>
            </control>
          </mc:Choice>
        </mc:AlternateContent>
        <mc:AlternateContent xmlns:mc="http://schemas.openxmlformats.org/markup-compatibility/2006">
          <mc:Choice Requires="x14">
            <control shapeId="2052" r:id="rId7" name="Option Button 4">
              <controlPr defaultSize="0" autoFill="0" autoLine="0" autoPict="0">
                <anchor>
                  <from>
                    <xdr:col>15</xdr:col>
                    <xdr:colOff>485775</xdr:colOff>
                    <xdr:row>4</xdr:row>
                    <xdr:rowOff>38100</xdr:rowOff>
                  </from>
                  <to>
                    <xdr:col>18</xdr:col>
                    <xdr:colOff>171450</xdr:colOff>
                    <xdr:row>5</xdr:row>
                    <xdr:rowOff>123825</xdr:rowOff>
                  </to>
                </anchor>
              </controlPr>
            </control>
          </mc:Choice>
        </mc:AlternateContent>
        <mc:AlternateContent xmlns:mc="http://schemas.openxmlformats.org/markup-compatibility/2006">
          <mc:Choice Requires="x14">
            <control shapeId="2060" r:id="rId8" name="Option Button 12">
              <controlPr locked="0" defaultSize="0" autoFill="0" autoLine="0" autoPict="0">
                <anchor>
                  <from>
                    <xdr:col>23</xdr:col>
                    <xdr:colOff>428625</xdr:colOff>
                    <xdr:row>35</xdr:row>
                    <xdr:rowOff>76200</xdr:rowOff>
                  </from>
                  <to>
                    <xdr:col>25</xdr:col>
                    <xdr:colOff>85725</xdr:colOff>
                    <xdr:row>36</xdr:row>
                    <xdr:rowOff>142875</xdr:rowOff>
                  </to>
                </anchor>
              </controlPr>
            </control>
          </mc:Choice>
        </mc:AlternateContent>
        <mc:AlternateContent xmlns:mc="http://schemas.openxmlformats.org/markup-compatibility/2006">
          <mc:Choice Requires="x14">
            <control shapeId="2061" r:id="rId9" name="Option Button 13">
              <controlPr locked="0" defaultSize="0" autoFill="0" autoLine="0" autoPict="0">
                <anchor>
                  <from>
                    <xdr:col>25</xdr:col>
                    <xdr:colOff>257175</xdr:colOff>
                    <xdr:row>35</xdr:row>
                    <xdr:rowOff>76200</xdr:rowOff>
                  </from>
                  <to>
                    <xdr:col>26</xdr:col>
                    <xdr:colOff>152400</xdr:colOff>
                    <xdr:row>36</xdr:row>
                    <xdr:rowOff>142875</xdr:rowOff>
                  </to>
                </anchor>
              </controlPr>
            </control>
          </mc:Choice>
        </mc:AlternateContent>
        <mc:AlternateContent xmlns:mc="http://schemas.openxmlformats.org/markup-compatibility/2006">
          <mc:Choice Requires="x14">
            <control shapeId="2059" r:id="rId10" name="Option Button 11">
              <controlPr locked="0" defaultSize="0" autoFill="0" autoLine="0" autoPict="0">
                <anchor>
                  <from>
                    <xdr:col>22</xdr:col>
                    <xdr:colOff>57150</xdr:colOff>
                    <xdr:row>35</xdr:row>
                    <xdr:rowOff>76200</xdr:rowOff>
                  </from>
                  <to>
                    <xdr:col>23</xdr:col>
                    <xdr:colOff>76200</xdr:colOff>
                    <xdr:row>36</xdr:row>
                    <xdr:rowOff>142875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6F9DC-D9B2-491F-A705-68B65CAA30B9}">
  <sheetPr codeName="Sheet3">
    <tabColor theme="1"/>
  </sheetPr>
  <dimension ref="R4:AK23"/>
  <sheetViews>
    <sheetView showRowColHeaders="0" workbookViewId="0">
      <selection activeCell="O8" sqref="O8"/>
    </sheetView>
  </sheetViews>
  <sheetFormatPr defaultRowHeight="12.75" x14ac:dyDescent="0.2"/>
  <cols>
    <col min="1" max="16384" width="9.140625" style="2"/>
  </cols>
  <sheetData>
    <row r="4" spans="18:37" x14ac:dyDescent="0.2">
      <c r="AH4" s="216">
        <v>2</v>
      </c>
      <c r="AI4" s="11" t="s">
        <v>2</v>
      </c>
    </row>
    <row r="5" spans="18:37" x14ac:dyDescent="0.2">
      <c r="AH5" s="216">
        <v>1</v>
      </c>
      <c r="AI5" s="11" t="s">
        <v>7</v>
      </c>
    </row>
    <row r="6" spans="18:37" x14ac:dyDescent="0.2">
      <c r="AH6" s="216">
        <v>2</v>
      </c>
      <c r="AI6" s="11" t="s">
        <v>3110</v>
      </c>
      <c r="AK6" s="11"/>
    </row>
    <row r="7" spans="18:37" x14ac:dyDescent="0.2">
      <c r="AH7" s="216">
        <v>2</v>
      </c>
      <c r="AI7" s="11" t="s">
        <v>3111</v>
      </c>
      <c r="AK7" s="11"/>
    </row>
    <row r="8" spans="18:37" x14ac:dyDescent="0.2">
      <c r="AH8" s="216">
        <v>2</v>
      </c>
      <c r="AI8" s="11" t="s">
        <v>3105</v>
      </c>
    </row>
    <row r="9" spans="18:37" x14ac:dyDescent="0.2">
      <c r="AH9" s="216">
        <v>2</v>
      </c>
      <c r="AI9" s="11" t="s">
        <v>3106</v>
      </c>
    </row>
    <row r="12" spans="18:37" ht="15" x14ac:dyDescent="0.25">
      <c r="AJ12" s="16"/>
    </row>
    <row r="13" spans="18:37" ht="15" x14ac:dyDescent="0.25">
      <c r="R13" s="15" t="s">
        <v>3024</v>
      </c>
      <c r="AJ13" s="16"/>
    </row>
    <row r="14" spans="18:37" ht="15" x14ac:dyDescent="0.25">
      <c r="AJ14" s="16"/>
    </row>
    <row r="22" spans="35:35" ht="15" x14ac:dyDescent="0.25">
      <c r="AI22" s="16"/>
    </row>
    <row r="23" spans="35:35" ht="15" x14ac:dyDescent="0.25">
      <c r="AI23" s="16"/>
    </row>
  </sheetData>
  <sheetProtection algorithmName="SHA-512" hashValue="8ABT702qITbdwmRPkiVOvz808NcDHNYKSev2Y9Tk89Acuan2LEG05CF1xy3wN8/N1yfCnPdP013FfesvtaUR9A==" saltValue="P+S52WudlRbK3P1QcSnuQg=="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roup Box 1">
              <controlPr defaultSize="0" autoFill="0" autoPict="0">
                <anchor moveWithCells="1">
                  <from>
                    <xdr:col>24</xdr:col>
                    <xdr:colOff>495300</xdr:colOff>
                    <xdr:row>16</xdr:row>
                    <xdr:rowOff>95250</xdr:rowOff>
                  </from>
                  <to>
                    <xdr:col>26</xdr:col>
                    <xdr:colOff>152400</xdr:colOff>
                    <xdr:row>22</xdr:row>
                    <xdr:rowOff>104775</xdr:rowOff>
                  </to>
                </anchor>
              </controlPr>
            </control>
          </mc:Choice>
        </mc:AlternateContent>
        <mc:AlternateContent xmlns:mc="http://schemas.openxmlformats.org/markup-compatibility/2006">
          <mc:Choice Requires="x14">
            <control shapeId="3083" r:id="rId4" name="Group Box 11">
              <controlPr defaultSize="0" autoFill="0" autoPict="0">
                <anchor moveWithCells="1">
                  <from>
                    <xdr:col>3</xdr:col>
                    <xdr:colOff>285750</xdr:colOff>
                    <xdr:row>16</xdr:row>
                    <xdr:rowOff>95250</xdr:rowOff>
                  </from>
                  <to>
                    <xdr:col>4</xdr:col>
                    <xdr:colOff>590550</xdr:colOff>
                    <xdr:row>22</xdr:row>
                    <xdr:rowOff>104775</xdr:rowOff>
                  </to>
                </anchor>
              </controlPr>
            </control>
          </mc:Choice>
        </mc:AlternateContent>
        <mc:AlternateContent xmlns:mc="http://schemas.openxmlformats.org/markup-compatibility/2006">
          <mc:Choice Requires="x14">
            <control shapeId="3084" r:id="rId5" name="Option Button 12">
              <controlPr defaultSize="0" autoFill="0" autoLine="0" autoPict="0">
                <anchor moveWithCells="1">
                  <from>
                    <xdr:col>3</xdr:col>
                    <xdr:colOff>342900</xdr:colOff>
                    <xdr:row>17</xdr:row>
                    <xdr:rowOff>104775</xdr:rowOff>
                  </from>
                  <to>
                    <xdr:col>4</xdr:col>
                    <xdr:colOff>485775</xdr:colOff>
                    <xdr:row>19</xdr:row>
                    <xdr:rowOff>28575</xdr:rowOff>
                  </to>
                </anchor>
              </controlPr>
            </control>
          </mc:Choice>
        </mc:AlternateContent>
        <mc:AlternateContent xmlns:mc="http://schemas.openxmlformats.org/markup-compatibility/2006">
          <mc:Choice Requires="x14">
            <control shapeId="3085" r:id="rId6" name="Option Button 13">
              <controlPr defaultSize="0" autoFill="0" autoLine="0" autoPict="0">
                <anchor moveWithCells="1">
                  <from>
                    <xdr:col>3</xdr:col>
                    <xdr:colOff>342900</xdr:colOff>
                    <xdr:row>19</xdr:row>
                    <xdr:rowOff>123825</xdr:rowOff>
                  </from>
                  <to>
                    <xdr:col>4</xdr:col>
                    <xdr:colOff>466725</xdr:colOff>
                    <xdr:row>21</xdr:row>
                    <xdr:rowOff>47625</xdr:rowOff>
                  </to>
                </anchor>
              </controlPr>
            </control>
          </mc:Choice>
        </mc:AlternateContent>
        <mc:AlternateContent xmlns:mc="http://schemas.openxmlformats.org/markup-compatibility/2006">
          <mc:Choice Requires="x14">
            <control shapeId="3075" r:id="rId7" name="Option Button 3">
              <controlPr defaultSize="0" autoFill="0" autoLine="0" autoPict="0">
                <anchor moveWithCells="1">
                  <from>
                    <xdr:col>24</xdr:col>
                    <xdr:colOff>552450</xdr:colOff>
                    <xdr:row>19</xdr:row>
                    <xdr:rowOff>123825</xdr:rowOff>
                  </from>
                  <to>
                    <xdr:col>26</xdr:col>
                    <xdr:colOff>76200</xdr:colOff>
                    <xdr:row>21</xdr:row>
                    <xdr:rowOff>47625</xdr:rowOff>
                  </to>
                </anchor>
              </controlPr>
            </control>
          </mc:Choice>
        </mc:AlternateContent>
        <mc:AlternateContent xmlns:mc="http://schemas.openxmlformats.org/markup-compatibility/2006">
          <mc:Choice Requires="x14">
            <control shapeId="3074" r:id="rId8" name="Option Button 2">
              <controlPr defaultSize="0" autoFill="0" autoLine="0" autoPict="0">
                <anchor moveWithCells="1">
                  <from>
                    <xdr:col>24</xdr:col>
                    <xdr:colOff>552450</xdr:colOff>
                    <xdr:row>17</xdr:row>
                    <xdr:rowOff>104775</xdr:rowOff>
                  </from>
                  <to>
                    <xdr:col>26</xdr:col>
                    <xdr:colOff>66675</xdr:colOff>
                    <xdr:row>19</xdr:row>
                    <xdr:rowOff>28575</xdr:rowOff>
                  </to>
                </anchor>
              </controlPr>
            </control>
          </mc:Choice>
        </mc:AlternateContent>
        <mc:AlternateContent xmlns:mc="http://schemas.openxmlformats.org/markup-compatibility/2006">
          <mc:Choice Requires="x14">
            <control shapeId="44" r:id="rId9" name="Group Box 19">
              <controlPr defaultSize="0" autoFill="0" autoPict="0">
                <anchor moveWithCells="1">
                  <from>
                    <xdr:col>8</xdr:col>
                    <xdr:colOff>600075</xdr:colOff>
                    <xdr:row>33</xdr:row>
                    <xdr:rowOff>133350</xdr:rowOff>
                  </from>
                  <to>
                    <xdr:col>12</xdr:col>
                    <xdr:colOff>104775</xdr:colOff>
                    <xdr:row>35</xdr:row>
                    <xdr:rowOff>57150</xdr:rowOff>
                  </to>
                </anchor>
              </controlPr>
            </control>
          </mc:Choice>
        </mc:AlternateContent>
        <mc:AlternateContent xmlns:mc="http://schemas.openxmlformats.org/markup-compatibility/2006">
          <mc:Choice Requires="x14">
            <control shapeId="63" r:id="rId10" name="Option Button 20">
              <controlPr defaultSize="0" autoFill="0" autoLine="0" autoPict="0">
                <anchor moveWithCells="1">
                  <from>
                    <xdr:col>9</xdr:col>
                    <xdr:colOff>66675</xdr:colOff>
                    <xdr:row>34</xdr:row>
                    <xdr:rowOff>0</xdr:rowOff>
                  </from>
                  <to>
                    <xdr:col>10</xdr:col>
                    <xdr:colOff>352425</xdr:colOff>
                    <xdr:row>35</xdr:row>
                    <xdr:rowOff>19050</xdr:rowOff>
                  </to>
                </anchor>
              </controlPr>
            </control>
          </mc:Choice>
        </mc:AlternateContent>
        <mc:AlternateContent xmlns:mc="http://schemas.openxmlformats.org/markup-compatibility/2006">
          <mc:Choice Requires="x14">
            <control shapeId="3093" r:id="rId11" name="Option Button 21">
              <controlPr defaultSize="0" autoFill="0" autoLine="0" autoPict="0">
                <anchor moveWithCells="1">
                  <from>
                    <xdr:col>10</xdr:col>
                    <xdr:colOff>381000</xdr:colOff>
                    <xdr:row>34</xdr:row>
                    <xdr:rowOff>0</xdr:rowOff>
                  </from>
                  <to>
                    <xdr:col>12</xdr:col>
                    <xdr:colOff>57150</xdr:colOff>
                    <xdr:row>35</xdr:row>
                    <xdr:rowOff>19050</xdr:rowOff>
                  </to>
                </anchor>
              </controlPr>
            </control>
          </mc:Choice>
        </mc:AlternateContent>
        <mc:AlternateContent xmlns:mc="http://schemas.openxmlformats.org/markup-compatibility/2006">
          <mc:Choice Requires="x14">
            <control shapeId="3094" r:id="rId12" name="Group Box 22">
              <controlPr defaultSize="0" autoFill="0" autoPict="0">
                <anchor moveWithCells="1">
                  <from>
                    <xdr:col>24</xdr:col>
                    <xdr:colOff>352425</xdr:colOff>
                    <xdr:row>35</xdr:row>
                    <xdr:rowOff>95250</xdr:rowOff>
                  </from>
                  <to>
                    <xdr:col>27</xdr:col>
                    <xdr:colOff>466725</xdr:colOff>
                    <xdr:row>37</xdr:row>
                    <xdr:rowOff>19050</xdr:rowOff>
                  </to>
                </anchor>
              </controlPr>
            </control>
          </mc:Choice>
        </mc:AlternateContent>
        <mc:AlternateContent xmlns:mc="http://schemas.openxmlformats.org/markup-compatibility/2006">
          <mc:Choice Requires="x14">
            <control shapeId="3095" r:id="rId13" name="Option Button 23">
              <controlPr defaultSize="0" autoFill="0" autoLine="0" autoPict="0">
                <anchor moveWithCells="1">
                  <from>
                    <xdr:col>24</xdr:col>
                    <xdr:colOff>428625</xdr:colOff>
                    <xdr:row>35</xdr:row>
                    <xdr:rowOff>123825</xdr:rowOff>
                  </from>
                  <to>
                    <xdr:col>26</xdr:col>
                    <xdr:colOff>104775</xdr:colOff>
                    <xdr:row>36</xdr:row>
                    <xdr:rowOff>142875</xdr:rowOff>
                  </to>
                </anchor>
              </controlPr>
            </control>
          </mc:Choice>
        </mc:AlternateContent>
        <mc:AlternateContent xmlns:mc="http://schemas.openxmlformats.org/markup-compatibility/2006">
          <mc:Choice Requires="x14">
            <control shapeId="3096" r:id="rId14" name="Option Button 24">
              <controlPr defaultSize="0" autoFill="0" autoLine="0" autoPict="0">
                <anchor moveWithCells="1">
                  <from>
                    <xdr:col>26</xdr:col>
                    <xdr:colOff>133350</xdr:colOff>
                    <xdr:row>35</xdr:row>
                    <xdr:rowOff>123825</xdr:rowOff>
                  </from>
                  <to>
                    <xdr:col>27</xdr:col>
                    <xdr:colOff>419100</xdr:colOff>
                    <xdr:row>36</xdr:row>
                    <xdr:rowOff>142875</xdr:rowOff>
                  </to>
                </anchor>
              </controlPr>
            </control>
          </mc:Choice>
        </mc:AlternateContent>
        <mc:AlternateContent xmlns:mc="http://schemas.openxmlformats.org/markup-compatibility/2006">
          <mc:Choice Requires="x14">
            <control shapeId="3097" r:id="rId15" name="Group Box 25">
              <controlPr defaultSize="0" autoFill="0" autoPict="0">
                <anchor moveWithCells="1">
                  <from>
                    <xdr:col>2</xdr:col>
                    <xdr:colOff>47625</xdr:colOff>
                    <xdr:row>35</xdr:row>
                    <xdr:rowOff>95250</xdr:rowOff>
                  </from>
                  <to>
                    <xdr:col>5</xdr:col>
                    <xdr:colOff>161925</xdr:colOff>
                    <xdr:row>37</xdr:row>
                    <xdr:rowOff>19050</xdr:rowOff>
                  </to>
                </anchor>
              </controlPr>
            </control>
          </mc:Choice>
        </mc:AlternateContent>
        <mc:AlternateContent xmlns:mc="http://schemas.openxmlformats.org/markup-compatibility/2006">
          <mc:Choice Requires="x14">
            <control shapeId="3098" r:id="rId16" name="Option Button 26">
              <controlPr defaultSize="0" autoFill="0" autoLine="0" autoPict="0">
                <anchor moveWithCells="1">
                  <from>
                    <xdr:col>2</xdr:col>
                    <xdr:colOff>123825</xdr:colOff>
                    <xdr:row>35</xdr:row>
                    <xdr:rowOff>123825</xdr:rowOff>
                  </from>
                  <to>
                    <xdr:col>3</xdr:col>
                    <xdr:colOff>409575</xdr:colOff>
                    <xdr:row>36</xdr:row>
                    <xdr:rowOff>142875</xdr:rowOff>
                  </to>
                </anchor>
              </controlPr>
            </control>
          </mc:Choice>
        </mc:AlternateContent>
        <mc:AlternateContent xmlns:mc="http://schemas.openxmlformats.org/markup-compatibility/2006">
          <mc:Choice Requires="x14">
            <control shapeId="3099" r:id="rId17" name="Option Button 27">
              <controlPr defaultSize="0" autoFill="0" autoLine="0" autoPict="0">
                <anchor moveWithCells="1">
                  <from>
                    <xdr:col>3</xdr:col>
                    <xdr:colOff>438150</xdr:colOff>
                    <xdr:row>35</xdr:row>
                    <xdr:rowOff>123825</xdr:rowOff>
                  </from>
                  <to>
                    <xdr:col>5</xdr:col>
                    <xdr:colOff>114300</xdr:colOff>
                    <xdr:row>36</xdr:row>
                    <xdr:rowOff>142875</xdr:rowOff>
                  </to>
                </anchor>
              </controlPr>
            </control>
          </mc:Choice>
        </mc:AlternateContent>
        <mc:AlternateContent xmlns:mc="http://schemas.openxmlformats.org/markup-compatibility/2006">
          <mc:Choice Requires="x14">
            <control shapeId="3100" r:id="rId18" name="Group Box 28">
              <controlPr defaultSize="0" autoFill="0" autoPict="0">
                <anchor moveWithCells="1">
                  <from>
                    <xdr:col>17</xdr:col>
                    <xdr:colOff>409575</xdr:colOff>
                    <xdr:row>33</xdr:row>
                    <xdr:rowOff>123825</xdr:rowOff>
                  </from>
                  <to>
                    <xdr:col>20</xdr:col>
                    <xdr:colOff>523875</xdr:colOff>
                    <xdr:row>35</xdr:row>
                    <xdr:rowOff>47625</xdr:rowOff>
                  </to>
                </anchor>
              </controlPr>
            </control>
          </mc:Choice>
        </mc:AlternateContent>
        <mc:AlternateContent xmlns:mc="http://schemas.openxmlformats.org/markup-compatibility/2006">
          <mc:Choice Requires="x14">
            <control shapeId="3141" r:id="rId19" name="Option Button 29">
              <controlPr defaultSize="0" autoFill="0" autoLine="0" autoPict="0">
                <anchor moveWithCells="1">
                  <from>
                    <xdr:col>17</xdr:col>
                    <xdr:colOff>485775</xdr:colOff>
                    <xdr:row>33</xdr:row>
                    <xdr:rowOff>152400</xdr:rowOff>
                  </from>
                  <to>
                    <xdr:col>19</xdr:col>
                    <xdr:colOff>161925</xdr:colOff>
                    <xdr:row>35</xdr:row>
                    <xdr:rowOff>9525</xdr:rowOff>
                  </to>
                </anchor>
              </controlPr>
            </control>
          </mc:Choice>
        </mc:AlternateContent>
        <mc:AlternateContent xmlns:mc="http://schemas.openxmlformats.org/markup-compatibility/2006">
          <mc:Choice Requires="x14">
            <control shapeId="3102" r:id="rId20" name="Option Button 30">
              <controlPr defaultSize="0" autoFill="0" autoLine="0" autoPict="0">
                <anchor moveWithCells="1">
                  <from>
                    <xdr:col>19</xdr:col>
                    <xdr:colOff>190500</xdr:colOff>
                    <xdr:row>33</xdr:row>
                    <xdr:rowOff>152400</xdr:rowOff>
                  </from>
                  <to>
                    <xdr:col>20</xdr:col>
                    <xdr:colOff>476250</xdr:colOff>
                    <xdr:row>35</xdr:row>
                    <xdr:rowOff>9525</xdr:rowOff>
                  </to>
                </anchor>
              </controlPr>
            </control>
          </mc:Choice>
        </mc:AlternateContent>
      </controls>
    </mc:Choice>
  </mc:AlternateContent>
  <extLst>
    <ext xmlns:x14="http://schemas.microsoft.com/office/spreadsheetml/2009/9/main" uri="{A8765BA9-456A-4dab-B4F3-ACF838C121DE}">
      <x14:slicerList>
        <x14:slicer r:id="rId2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CB3-472A-49B0-9EF0-CDE66673229B}">
  <sheetPr codeName="Sheet4">
    <tabColor theme="1"/>
  </sheetPr>
  <dimension ref="A1:Y37"/>
  <sheetViews>
    <sheetView showGridLines="0" showRowColHeaders="0" showZeros="0" workbookViewId="0">
      <selection activeCell="A56" sqref="A56"/>
    </sheetView>
  </sheetViews>
  <sheetFormatPr defaultRowHeight="12.75" x14ac:dyDescent="0.2"/>
  <cols>
    <col min="1" max="16384" width="9.140625" style="2"/>
  </cols>
  <sheetData>
    <row r="1" spans="1:25" x14ac:dyDescent="0.2">
      <c r="A1" s="10">
        <v>7838</v>
      </c>
    </row>
    <row r="5" spans="1:25" x14ac:dyDescent="0.2">
      <c r="A5" s="9">
        <v>4</v>
      </c>
      <c r="Y5" s="7"/>
    </row>
    <row r="17" spans="1:1" x14ac:dyDescent="0.2">
      <c r="A17" s="7" t="s">
        <v>3098</v>
      </c>
    </row>
    <row r="37" spans="1:1" x14ac:dyDescent="0.2">
      <c r="A37" s="8">
        <v>1</v>
      </c>
    </row>
  </sheetData>
  <sheetProtection algorithmName="SHA-512" hashValue="uDkEhDqEt45P+7PXWRpIilLWzV+rSzKZn9hN3gqJ3kKm6L9u3EXpROqihacoFxaYrokfcxe5fUZIyMfU+LC1xw==" saltValue="JLN8eYvxB8MqGNZVa9o9+Q=="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Group Box 3">
              <controlPr defaultSize="0" autoFill="0" autoPict="0">
                <anchor>
                  <from>
                    <xdr:col>0</xdr:col>
                    <xdr:colOff>552450</xdr:colOff>
                    <xdr:row>8</xdr:row>
                    <xdr:rowOff>142875</xdr:rowOff>
                  </from>
                  <to>
                    <xdr:col>4</xdr:col>
                    <xdr:colOff>352425</xdr:colOff>
                    <xdr:row>20</xdr:row>
                    <xdr:rowOff>142875</xdr:rowOff>
                  </to>
                </anchor>
              </controlPr>
            </control>
          </mc:Choice>
        </mc:AlternateContent>
        <mc:AlternateContent xmlns:mc="http://schemas.openxmlformats.org/markup-compatibility/2006">
          <mc:Choice Requires="x14">
            <control shapeId="4111" r:id="rId4" name="Group Box 15">
              <controlPr defaultSize="0" autoFill="0" autoPict="0">
                <anchor>
                  <from>
                    <xdr:col>0</xdr:col>
                    <xdr:colOff>466725</xdr:colOff>
                    <xdr:row>33</xdr:row>
                    <xdr:rowOff>19050</xdr:rowOff>
                  </from>
                  <to>
                    <xdr:col>8</xdr:col>
                    <xdr:colOff>114300</xdr:colOff>
                    <xdr:row>37</xdr:row>
                    <xdr:rowOff>142875</xdr:rowOff>
                  </to>
                </anchor>
              </controlPr>
            </control>
          </mc:Choice>
        </mc:AlternateContent>
        <mc:AlternateContent xmlns:mc="http://schemas.openxmlformats.org/markup-compatibility/2006">
          <mc:Choice Requires="x14">
            <control shapeId="4100" r:id="rId5" name="Option Button 4">
              <controlPr defaultSize="0" autoFill="0" autoLine="0" autoPict="0">
                <anchor moveWithCells="1">
                  <from>
                    <xdr:col>1</xdr:col>
                    <xdr:colOff>285750</xdr:colOff>
                    <xdr:row>12</xdr:row>
                    <xdr:rowOff>95250</xdr:rowOff>
                  </from>
                  <to>
                    <xdr:col>3</xdr:col>
                    <xdr:colOff>590550</xdr:colOff>
                    <xdr:row>14</xdr:row>
                    <xdr:rowOff>28575</xdr:rowOff>
                  </to>
                </anchor>
              </controlPr>
            </control>
          </mc:Choice>
        </mc:AlternateContent>
        <mc:AlternateContent xmlns:mc="http://schemas.openxmlformats.org/markup-compatibility/2006">
          <mc:Choice Requires="x14">
            <control shapeId="4108" r:id="rId6" name="Option Button 12">
              <controlPr defaultSize="0" autoFill="0" autoLine="0" autoPict="0">
                <anchor moveWithCells="1">
                  <from>
                    <xdr:col>1</xdr:col>
                    <xdr:colOff>285750</xdr:colOff>
                    <xdr:row>14</xdr:row>
                    <xdr:rowOff>57150</xdr:rowOff>
                  </from>
                  <to>
                    <xdr:col>3</xdr:col>
                    <xdr:colOff>590550</xdr:colOff>
                    <xdr:row>15</xdr:row>
                    <xdr:rowOff>152400</xdr:rowOff>
                  </to>
                </anchor>
              </controlPr>
            </control>
          </mc:Choice>
        </mc:AlternateContent>
        <mc:AlternateContent xmlns:mc="http://schemas.openxmlformats.org/markup-compatibility/2006">
          <mc:Choice Requires="x14">
            <control shapeId="4109" r:id="rId7" name="Option Button 13">
              <controlPr defaultSize="0" autoFill="0" autoLine="0" autoPict="0">
                <anchor moveWithCells="1">
                  <from>
                    <xdr:col>1</xdr:col>
                    <xdr:colOff>285750</xdr:colOff>
                    <xdr:row>16</xdr:row>
                    <xdr:rowOff>19050</xdr:rowOff>
                  </from>
                  <to>
                    <xdr:col>3</xdr:col>
                    <xdr:colOff>590550</xdr:colOff>
                    <xdr:row>17</xdr:row>
                    <xdr:rowOff>114300</xdr:rowOff>
                  </to>
                </anchor>
              </controlPr>
            </control>
          </mc:Choice>
        </mc:AlternateContent>
        <mc:AlternateContent xmlns:mc="http://schemas.openxmlformats.org/markup-compatibility/2006">
          <mc:Choice Requires="x14">
            <control shapeId="4110" r:id="rId8" name="Option Button 14">
              <controlPr defaultSize="0" autoFill="0" autoLine="0" autoPict="0">
                <anchor moveWithCells="1">
                  <from>
                    <xdr:col>1</xdr:col>
                    <xdr:colOff>285750</xdr:colOff>
                    <xdr:row>17</xdr:row>
                    <xdr:rowOff>142875</xdr:rowOff>
                  </from>
                  <to>
                    <xdr:col>3</xdr:col>
                    <xdr:colOff>590550</xdr:colOff>
                    <xdr:row>19</xdr:row>
                    <xdr:rowOff>76200</xdr:rowOff>
                  </to>
                </anchor>
              </controlPr>
            </control>
          </mc:Choice>
        </mc:AlternateContent>
        <mc:AlternateContent xmlns:mc="http://schemas.openxmlformats.org/markup-compatibility/2006">
          <mc:Choice Requires="x14">
            <control shapeId="4112" r:id="rId9" name="Option Button 16">
              <controlPr defaultSize="0" autoFill="0" autoLine="0" autoPict="0">
                <anchor moveWithCells="1">
                  <from>
                    <xdr:col>1</xdr:col>
                    <xdr:colOff>323850</xdr:colOff>
                    <xdr:row>35</xdr:row>
                    <xdr:rowOff>9525</xdr:rowOff>
                  </from>
                  <to>
                    <xdr:col>2</xdr:col>
                    <xdr:colOff>495300</xdr:colOff>
                    <xdr:row>37</xdr:row>
                    <xdr:rowOff>47625</xdr:rowOff>
                  </to>
                </anchor>
              </controlPr>
            </control>
          </mc:Choice>
        </mc:AlternateContent>
        <mc:AlternateContent xmlns:mc="http://schemas.openxmlformats.org/markup-compatibility/2006">
          <mc:Choice Requires="x14">
            <control shapeId="4113" r:id="rId10" name="Option Button 17">
              <controlPr defaultSize="0" autoFill="0" autoLine="0" autoPict="0">
                <anchor moveWithCells="1">
                  <from>
                    <xdr:col>3</xdr:col>
                    <xdr:colOff>171450</xdr:colOff>
                    <xdr:row>35</xdr:row>
                    <xdr:rowOff>9525</xdr:rowOff>
                  </from>
                  <to>
                    <xdr:col>4</xdr:col>
                    <xdr:colOff>219075</xdr:colOff>
                    <xdr:row>37</xdr:row>
                    <xdr:rowOff>47625</xdr:rowOff>
                  </to>
                </anchor>
              </controlPr>
            </control>
          </mc:Choice>
        </mc:AlternateContent>
        <mc:AlternateContent xmlns:mc="http://schemas.openxmlformats.org/markup-compatibility/2006">
          <mc:Choice Requires="x14">
            <control shapeId="4114" r:id="rId11" name="Option Button 18">
              <controlPr defaultSize="0" autoFill="0" autoLine="0" autoPict="0">
                <anchor moveWithCells="1">
                  <from>
                    <xdr:col>4</xdr:col>
                    <xdr:colOff>400050</xdr:colOff>
                    <xdr:row>35</xdr:row>
                    <xdr:rowOff>9525</xdr:rowOff>
                  </from>
                  <to>
                    <xdr:col>5</xdr:col>
                    <xdr:colOff>581025</xdr:colOff>
                    <xdr:row>37</xdr:row>
                    <xdr:rowOff>47625</xdr:rowOff>
                  </to>
                </anchor>
              </controlPr>
            </control>
          </mc:Choice>
        </mc:AlternateContent>
        <mc:AlternateContent xmlns:mc="http://schemas.openxmlformats.org/markup-compatibility/2006">
          <mc:Choice Requires="x14">
            <control shapeId="4115" r:id="rId12" name="Option Button 19">
              <controlPr defaultSize="0" autoFill="0" autoLine="0" autoPict="0">
                <anchor moveWithCells="1">
                  <from>
                    <xdr:col>6</xdr:col>
                    <xdr:colOff>142875</xdr:colOff>
                    <xdr:row>35</xdr:row>
                    <xdr:rowOff>9525</xdr:rowOff>
                  </from>
                  <to>
                    <xdr:col>7</xdr:col>
                    <xdr:colOff>533400</xdr:colOff>
                    <xdr:row>37</xdr:row>
                    <xdr:rowOff>47625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6D62D-1994-4AB1-A2D0-D727A6DE9555}">
  <sheetPr codeName="Sheet6">
    <tabColor theme="2" tint="-0.249977111117893"/>
  </sheetPr>
  <dimension ref="A2:CO1032"/>
  <sheetViews>
    <sheetView showGridLines="0" topLeftCell="A18" workbookViewId="0">
      <selection activeCell="B47" sqref="B47:D51"/>
    </sheetView>
  </sheetViews>
  <sheetFormatPr defaultColWidth="15.7109375" defaultRowHeight="15" x14ac:dyDescent="0.25"/>
  <cols>
    <col min="1" max="1" width="3.7109375" style="55" customWidth="1"/>
    <col min="2" max="2" width="25.7109375" style="55" customWidth="1"/>
    <col min="3" max="4" width="15.7109375" style="55" customWidth="1"/>
    <col min="5" max="5" width="18.85546875" style="55" bestFit="1" customWidth="1"/>
    <col min="6" max="6" width="25" style="55" bestFit="1" customWidth="1"/>
    <col min="7" max="7" width="35.140625" style="55" bestFit="1" customWidth="1"/>
    <col min="8" max="8" width="18.28515625" style="56" bestFit="1" customWidth="1"/>
    <col min="9" max="9" width="26.42578125" style="56" bestFit="1" customWidth="1"/>
    <col min="10" max="10" width="15" style="55" bestFit="1" customWidth="1"/>
    <col min="11" max="11" width="20.42578125" style="55" bestFit="1" customWidth="1"/>
    <col min="12" max="12" width="18.28515625" style="55" bestFit="1" customWidth="1"/>
    <col min="13" max="13" width="15.140625" style="55" bestFit="1" customWidth="1"/>
    <col min="14" max="14" width="22.42578125" style="55" bestFit="1" customWidth="1"/>
    <col min="15" max="15" width="16.140625" style="55" bestFit="1" customWidth="1"/>
    <col min="16" max="16" width="32.7109375" style="55" bestFit="1" customWidth="1"/>
    <col min="17" max="17" width="26.42578125" style="55" bestFit="1" customWidth="1"/>
    <col min="18" max="18" width="11.140625" style="57" bestFit="1" customWidth="1"/>
    <col min="19" max="19" width="35.42578125" style="57" bestFit="1" customWidth="1"/>
    <col min="20" max="20" width="13.5703125" style="57" bestFit="1" customWidth="1"/>
    <col min="21" max="21" width="21.28515625" style="57" bestFit="1" customWidth="1"/>
    <col min="22" max="22" width="12.140625" style="57" bestFit="1" customWidth="1"/>
    <col min="23" max="23" width="15.28515625" style="55" bestFit="1" customWidth="1"/>
    <col min="24" max="24" width="15.7109375" style="55" bestFit="1" customWidth="1"/>
    <col min="25" max="25" width="11.28515625" style="55" bestFit="1" customWidth="1"/>
    <col min="26" max="26" width="31.28515625" style="55" bestFit="1" customWidth="1"/>
    <col min="27" max="27" width="21.28515625" style="55" bestFit="1" customWidth="1"/>
    <col min="28" max="28" width="13.140625" style="55" bestFit="1" customWidth="1"/>
    <col min="29" max="29" width="7.140625" style="55" bestFit="1" customWidth="1"/>
    <col min="30" max="30" width="22.140625" style="57" bestFit="1" customWidth="1"/>
    <col min="31" max="31" width="22.7109375" style="55" bestFit="1" customWidth="1"/>
    <col min="32" max="32" width="19.140625" style="55" bestFit="1" customWidth="1"/>
    <col min="33" max="33" width="17.140625" style="55" bestFit="1" customWidth="1"/>
    <col min="34" max="34" width="11.7109375" style="55" bestFit="1" customWidth="1"/>
    <col min="35" max="35" width="11.140625" style="55" bestFit="1" customWidth="1"/>
    <col min="36" max="36" width="13" style="55" bestFit="1" customWidth="1"/>
    <col min="37" max="37" width="35.28515625" style="55" bestFit="1" customWidth="1"/>
    <col min="38" max="38" width="21" style="55" bestFit="1" customWidth="1"/>
    <col min="39" max="39" width="16.7109375" style="55" bestFit="1" customWidth="1"/>
    <col min="40" max="40" width="13.28515625" style="58" bestFit="1" customWidth="1"/>
    <col min="41" max="41" width="12" style="58" bestFit="1" customWidth="1"/>
    <col min="42" max="42" width="16.5703125" style="58" bestFit="1" customWidth="1"/>
    <col min="43" max="43" width="12" style="108" bestFit="1" customWidth="1"/>
    <col min="44" max="44" width="14.7109375" style="58" bestFit="1" customWidth="1"/>
    <col min="45" max="45" width="7.5703125" style="109" bestFit="1" customWidth="1"/>
    <col min="46" max="46" width="16.140625" style="109" bestFit="1" customWidth="1"/>
    <col min="47" max="47" width="35.140625" style="55" bestFit="1" customWidth="1"/>
    <col min="48" max="48" width="19.85546875" style="55" bestFit="1" customWidth="1"/>
    <col min="49" max="49" width="16.5703125" style="58" bestFit="1" customWidth="1"/>
    <col min="50" max="50" width="35.140625" style="58" bestFit="1" customWidth="1"/>
    <col min="51" max="51" width="11.5703125" style="58" bestFit="1" customWidth="1"/>
    <col min="52" max="52" width="11.140625" style="55" bestFit="1" customWidth="1"/>
    <col min="53" max="53" width="15.7109375" style="55" customWidth="1"/>
    <col min="54" max="54" width="19.5703125" style="55" bestFit="1" customWidth="1"/>
    <col min="55" max="55" width="17.140625" style="55" bestFit="1" customWidth="1"/>
    <col min="56" max="56" width="11" style="55" bestFit="1" customWidth="1"/>
    <col min="57" max="57" width="9.7109375" style="103" bestFit="1" customWidth="1"/>
    <col min="58" max="58" width="12.42578125" style="103" bestFit="1" customWidth="1"/>
    <col min="59" max="59" width="13.42578125" style="103" bestFit="1" customWidth="1"/>
    <col min="60" max="60" width="14.140625" style="103" bestFit="1" customWidth="1"/>
    <col min="61" max="62" width="14" style="103" customWidth="1"/>
    <col min="63" max="63" width="15.7109375" style="55" customWidth="1"/>
    <col min="64" max="64" width="14.140625" style="55" bestFit="1" customWidth="1"/>
    <col min="65" max="68" width="11" style="55" customWidth="1"/>
    <col min="69" max="69" width="12.5703125" style="55" bestFit="1" customWidth="1"/>
    <col min="70" max="70" width="19.85546875" style="55" bestFit="1" customWidth="1"/>
    <col min="71" max="71" width="15.7109375" style="55" customWidth="1"/>
    <col min="72" max="72" width="23" style="55" bestFit="1" customWidth="1"/>
    <col min="73" max="73" width="18.28515625" style="55" bestFit="1" customWidth="1"/>
    <col min="74" max="74" width="11" style="55" bestFit="1" customWidth="1"/>
    <col min="75" max="75" width="9.7109375" style="55" bestFit="1" customWidth="1"/>
    <col min="76" max="76" width="12.42578125" style="55" bestFit="1" customWidth="1"/>
    <col min="77" max="77" width="13.42578125" style="55" bestFit="1" customWidth="1"/>
    <col min="78" max="80" width="15.7109375" style="55" customWidth="1"/>
    <col min="81" max="81" width="27.42578125" style="55" bestFit="1" customWidth="1"/>
    <col min="82" max="82" width="11.7109375" style="55" bestFit="1" customWidth="1"/>
    <col min="83" max="83" width="11.5703125" style="55" bestFit="1" customWidth="1"/>
    <col min="84" max="84" width="14.140625" style="55" bestFit="1" customWidth="1"/>
    <col min="85" max="85" width="16.28515625" style="55" bestFit="1" customWidth="1"/>
    <col min="86" max="86" width="17.7109375" style="55" bestFit="1" customWidth="1"/>
    <col min="87" max="87" width="15.7109375" style="55" customWidth="1"/>
    <col min="88" max="88" width="77.5703125" style="55" bestFit="1" customWidth="1"/>
    <col min="89" max="89" width="8.42578125" style="270" bestFit="1" customWidth="1"/>
    <col min="90" max="90" width="9.42578125" style="55" bestFit="1" customWidth="1"/>
    <col min="91" max="91" width="83.5703125" style="55" bestFit="1" customWidth="1"/>
    <col min="92" max="92" width="14.28515625" style="56" bestFit="1" customWidth="1"/>
    <col min="93" max="376" width="15.7109375" style="55" customWidth="1"/>
    <col min="377" max="16384" width="15.7109375" style="55"/>
  </cols>
  <sheetData>
    <row r="2" spans="2:93" x14ac:dyDescent="0.25">
      <c r="AQ2" s="59" t="s">
        <v>3042</v>
      </c>
      <c r="AR2" s="60">
        <f>AR3/AS3</f>
        <v>10511.311564245809</v>
      </c>
      <c r="AS2" s="61"/>
      <c r="AT2" s="61"/>
    </row>
    <row r="3" spans="2:93" ht="15.75" thickBot="1" x14ac:dyDescent="0.3">
      <c r="B3" s="162" t="s">
        <v>3082</v>
      </c>
      <c r="U3" s="162" t="s">
        <v>3084</v>
      </c>
      <c r="AL3" s="162" t="s">
        <v>3086</v>
      </c>
      <c r="AQ3" s="59" t="s">
        <v>3054</v>
      </c>
      <c r="AR3" s="60">
        <f>SUM(AR7:AR185)</f>
        <v>1881524.7699999998</v>
      </c>
      <c r="AS3" s="61">
        <f>SUM(AS7:AS185)</f>
        <v>179</v>
      </c>
      <c r="AT3" s="61"/>
      <c r="AU3" s="62"/>
      <c r="BB3" s="162" t="s">
        <v>3097</v>
      </c>
      <c r="BI3" s="57"/>
    </row>
    <row r="4" spans="2:93" ht="15.75" thickBot="1" x14ac:dyDescent="0.3">
      <c r="B4" s="113" t="s">
        <v>3091</v>
      </c>
      <c r="C4" s="114" t="s">
        <v>3092</v>
      </c>
      <c r="D4" s="114" t="s">
        <v>3093</v>
      </c>
      <c r="E4" s="114"/>
      <c r="F4" s="114"/>
      <c r="G4" s="114"/>
      <c r="H4" s="115"/>
      <c r="I4" s="115"/>
      <c r="J4" s="114"/>
      <c r="K4" s="114"/>
      <c r="L4" s="114"/>
      <c r="M4" s="114"/>
      <c r="N4" s="114"/>
      <c r="O4" s="114"/>
      <c r="P4" s="114"/>
      <c r="Q4" s="114"/>
      <c r="R4" s="116"/>
      <c r="S4" s="117"/>
      <c r="U4" s="66" t="s">
        <v>3083</v>
      </c>
      <c r="V4" s="67"/>
      <c r="W4" s="68"/>
      <c r="X4" s="68"/>
      <c r="Y4" s="68"/>
      <c r="Z4" s="68"/>
      <c r="AA4" s="68"/>
      <c r="AB4" s="68"/>
      <c r="AC4" s="68"/>
      <c r="AD4" s="66" t="s">
        <v>3085</v>
      </c>
      <c r="AE4" s="68"/>
      <c r="AF4" s="68"/>
      <c r="AG4" s="68"/>
      <c r="AH4" s="68"/>
      <c r="AI4" s="68"/>
      <c r="AJ4" s="68"/>
      <c r="AL4" s="139" t="s">
        <v>3087</v>
      </c>
      <c r="AM4" s="140"/>
      <c r="AN4" s="141"/>
      <c r="AO4" s="141"/>
      <c r="AP4" s="141"/>
      <c r="AQ4" s="182" t="s">
        <v>3057</v>
      </c>
      <c r="AR4" s="141" t="str">
        <f>_xlfn.CONCAT($AR$5," Trend")</f>
        <v>Sales Trend</v>
      </c>
      <c r="AS4" s="183"/>
      <c r="AT4" s="184"/>
      <c r="AU4" s="139" t="s">
        <v>3088</v>
      </c>
      <c r="AV4" s="140"/>
      <c r="AW4" s="141"/>
      <c r="AX4" s="141"/>
      <c r="AY4" s="141"/>
      <c r="AZ4" s="142"/>
      <c r="BB4" s="218"/>
      <c r="BC4" s="224"/>
      <c r="BD4" s="247" t="s">
        <v>3052</v>
      </c>
      <c r="BE4" s="248"/>
      <c r="BF4" s="249"/>
      <c r="BG4" s="250"/>
      <c r="BH4" s="140" t="s">
        <v>3053</v>
      </c>
      <c r="BI4" s="140" t="str">
        <f>CHOOSE(Distribution!AH4,"Sales", "Profit")</f>
        <v>Profit</v>
      </c>
      <c r="BJ4" s="140"/>
      <c r="BK4" s="226" t="str">
        <f>_xlfn.CONCAT("Distribution of Σ ",BL5," of ","$",ROUND(BL11,0)," Over Order Priority",", where ",BQ5," are ",BQ11)</f>
        <v>Distribution of Σ Profit of $215023 Over Order Priority, where # of Orders are 1361</v>
      </c>
      <c r="BL4" s="140"/>
      <c r="BM4" s="140"/>
      <c r="BN4" s="140"/>
      <c r="BO4" s="140"/>
      <c r="BP4" s="140"/>
      <c r="BQ4" s="140"/>
      <c r="BR4" s="142"/>
      <c r="BS4" s="68"/>
      <c r="BT4" s="218"/>
      <c r="BU4" s="224"/>
      <c r="BV4" s="247" t="s">
        <v>3052</v>
      </c>
      <c r="BW4" s="248"/>
      <c r="BX4" s="249"/>
      <c r="BY4" s="250"/>
      <c r="BZ4" s="140" t="s">
        <v>3053</v>
      </c>
      <c r="CA4" s="140" t="str">
        <f>CHOOSE(Distribution!AH5,"Sales", "Profit")</f>
        <v>Sales</v>
      </c>
      <c r="CB4" s="227"/>
      <c r="CC4" s="183" t="str">
        <f>_xlfn.CONCAT("Distribution of Σ ",CC6," of $",ROUND(CH6,0)," Over Cust Segment",", where ",CC8," are ",CH8)</f>
        <v>Distribution of Σ Sales of $1881525 Over Cust Segment, where # of Orders are 1361</v>
      </c>
      <c r="CD4" s="183"/>
      <c r="CE4" s="183"/>
      <c r="CF4" s="183"/>
      <c r="CG4" s="183"/>
      <c r="CH4" s="142"/>
      <c r="CI4" s="103"/>
      <c r="CJ4" s="276" t="s">
        <v>3107</v>
      </c>
      <c r="CK4" s="277"/>
      <c r="CL4" s="295"/>
      <c r="CM4" s="278" t="s">
        <v>3053</v>
      </c>
      <c r="CN4" s="279" t="str">
        <f>CHOOSE(Distribution!AH6,"Sales", "Profit")</f>
        <v>Profit</v>
      </c>
      <c r="CO4" s="280"/>
    </row>
    <row r="5" spans="2:93" ht="15.75" thickBot="1" x14ac:dyDescent="0.3">
      <c r="B5" s="338" t="s">
        <v>9</v>
      </c>
      <c r="C5" s="328" t="s">
        <v>22</v>
      </c>
      <c r="D5" s="343" t="s">
        <v>3025</v>
      </c>
      <c r="E5" s="343" t="s">
        <v>3035</v>
      </c>
      <c r="F5" s="329" t="s">
        <v>3036</v>
      </c>
      <c r="G5" s="69" t="s">
        <v>9</v>
      </c>
      <c r="H5" s="70" t="s">
        <v>3027</v>
      </c>
      <c r="I5" s="70" t="s">
        <v>3021</v>
      </c>
      <c r="J5" s="71" t="s">
        <v>22</v>
      </c>
      <c r="K5" s="71" t="s">
        <v>3028</v>
      </c>
      <c r="L5" s="71" t="s">
        <v>3029</v>
      </c>
      <c r="M5" s="71" t="s">
        <v>3035</v>
      </c>
      <c r="N5" s="72" t="s">
        <v>3026</v>
      </c>
      <c r="O5" s="328" t="s">
        <v>22</v>
      </c>
      <c r="P5" s="329" t="s">
        <v>3030</v>
      </c>
      <c r="Q5" s="63" t="s">
        <v>3017</v>
      </c>
      <c r="R5" s="65" t="s">
        <v>3033</v>
      </c>
      <c r="S5" s="119" t="s">
        <v>3031</v>
      </c>
      <c r="U5" s="217" t="s">
        <v>15</v>
      </c>
      <c r="V5" s="218" t="s">
        <v>3049</v>
      </c>
      <c r="W5" s="219" t="s">
        <v>3040</v>
      </c>
      <c r="X5" s="219" t="s">
        <v>5</v>
      </c>
      <c r="Y5" s="220" t="s">
        <v>3041</v>
      </c>
      <c r="Z5" s="163" t="s">
        <v>3040</v>
      </c>
      <c r="AA5" s="164" t="str">
        <f t="shared" ref="AA5:AA36" si="0">U5</f>
        <v>State or Province</v>
      </c>
      <c r="AB5" s="165" t="str">
        <f>Z7</f>
        <v>Total Sales</v>
      </c>
      <c r="AC5" s="166" t="s">
        <v>3043</v>
      </c>
      <c r="AD5" s="371"/>
      <c r="AE5" s="372"/>
      <c r="AF5" s="373" t="s">
        <v>3052</v>
      </c>
      <c r="AG5" s="374"/>
      <c r="AH5" s="374"/>
      <c r="AI5" s="374"/>
      <c r="AJ5" s="375"/>
      <c r="AK5" s="73"/>
      <c r="AL5" s="218"/>
      <c r="AM5" s="224"/>
      <c r="AN5" s="389" t="s">
        <v>3052</v>
      </c>
      <c r="AO5" s="390"/>
      <c r="AP5" s="375"/>
      <c r="AQ5" s="59" t="s">
        <v>3053</v>
      </c>
      <c r="AR5" s="180" t="str">
        <f>CHOOSE(Trends!AD5,"Sales", "Profit","Sold Quantity")</f>
        <v>Sales</v>
      </c>
      <c r="AS5" s="61"/>
      <c r="AT5" s="185"/>
      <c r="AU5" s="394"/>
      <c r="AV5" s="373" t="s">
        <v>3052</v>
      </c>
      <c r="AW5" s="374"/>
      <c r="AX5" s="375"/>
      <c r="AY5" s="59" t="s">
        <v>3053</v>
      </c>
      <c r="AZ5" s="194" t="str">
        <f>CHOOSE(Trends!AC34,"Quantity","Sales", "Profit")</f>
        <v>Sales</v>
      </c>
      <c r="BB5" s="217" t="s">
        <v>7</v>
      </c>
      <c r="BC5" s="217" t="s">
        <v>2</v>
      </c>
      <c r="BD5" s="251" t="s">
        <v>22</v>
      </c>
      <c r="BE5" s="252" t="s">
        <v>20</v>
      </c>
      <c r="BF5" s="219" t="s">
        <v>3075</v>
      </c>
      <c r="BG5" s="220" t="s">
        <v>3076</v>
      </c>
      <c r="BH5" s="228" t="str">
        <f>BI4</f>
        <v>Profit</v>
      </c>
      <c r="BI5" s="229" t="s">
        <v>3076</v>
      </c>
      <c r="BJ5" s="229" t="s">
        <v>3075</v>
      </c>
      <c r="BK5" s="230" t="str">
        <f>BC5</f>
        <v>Order Priority</v>
      </c>
      <c r="BL5" s="229" t="str">
        <f>$BH$5</f>
        <v>Profit</v>
      </c>
      <c r="BM5" s="229" t="str">
        <f t="shared" ref="BM5:BP5" si="1">$BH$5</f>
        <v>Profit</v>
      </c>
      <c r="BN5" s="229" t="str">
        <f t="shared" si="1"/>
        <v>Profit</v>
      </c>
      <c r="BO5" s="229" t="str">
        <f t="shared" si="1"/>
        <v>Profit</v>
      </c>
      <c r="BP5" s="229" t="str">
        <f t="shared" si="1"/>
        <v>Profit</v>
      </c>
      <c r="BQ5" s="229" t="s">
        <v>3075</v>
      </c>
      <c r="BR5" s="231" t="s">
        <v>3074</v>
      </c>
      <c r="BS5" s="68"/>
      <c r="BT5" s="217" t="s">
        <v>2</v>
      </c>
      <c r="BU5" s="217" t="s">
        <v>3096</v>
      </c>
      <c r="BV5" s="251" t="s">
        <v>22</v>
      </c>
      <c r="BW5" s="252" t="s">
        <v>20</v>
      </c>
      <c r="BX5" s="219" t="s">
        <v>3075</v>
      </c>
      <c r="BY5" s="220" t="s">
        <v>3076</v>
      </c>
      <c r="BZ5" s="228" t="str">
        <f>CA4</f>
        <v>Sales</v>
      </c>
      <c r="CA5" s="229" t="s">
        <v>3076</v>
      </c>
      <c r="CB5" s="232" t="s">
        <v>3075</v>
      </c>
      <c r="CC5" s="230" t="str">
        <f>BU5</f>
        <v>Cust. Segment</v>
      </c>
      <c r="CD5" s="229" t="str">
        <f>IFERROR(BU6,"")</f>
        <v>Home Office</v>
      </c>
      <c r="CE5" s="229" t="str">
        <f>IFERROR(BU7,"")</f>
        <v>Consumer</v>
      </c>
      <c r="CF5" s="229" t="str">
        <f>IFERROR(BU8,"")</f>
        <v>Corporate</v>
      </c>
      <c r="CG5" s="229" t="str">
        <f>IFERROR(BU9,"")</f>
        <v>Small Business</v>
      </c>
      <c r="CH5" s="231" t="s">
        <v>3051</v>
      </c>
      <c r="CI5" s="103"/>
      <c r="CJ5" s="314" t="s">
        <v>11</v>
      </c>
      <c r="CK5" s="312" t="s">
        <v>22</v>
      </c>
      <c r="CL5" s="318" t="s">
        <v>3016</v>
      </c>
      <c r="CM5" s="274" t="s">
        <v>11</v>
      </c>
      <c r="CN5" s="275" t="str">
        <f>CN4</f>
        <v>Profit</v>
      </c>
      <c r="CO5" s="282" t="s">
        <v>3016</v>
      </c>
    </row>
    <row r="6" spans="2:93" ht="15.75" thickBot="1" x14ac:dyDescent="0.3">
      <c r="B6" s="339" t="s">
        <v>95</v>
      </c>
      <c r="C6" s="131">
        <v>82201.149999999994</v>
      </c>
      <c r="D6" s="337">
        <v>4.3688582425624935E-2</v>
      </c>
      <c r="E6" s="114">
        <v>1187</v>
      </c>
      <c r="F6" s="130">
        <v>4.7287068759461398E-2</v>
      </c>
      <c r="G6" s="74" t="s">
        <v>95</v>
      </c>
      <c r="H6" s="64">
        <v>0</v>
      </c>
      <c r="I6" s="64">
        <v>4</v>
      </c>
      <c r="J6" s="75">
        <f t="shared" ref="J6:J22" si="2">IFERROR(VLOOKUP(G6,$B$6:$D$22,2,FALSE),"0")</f>
        <v>82201.149999999994</v>
      </c>
      <c r="K6" s="110" t="str">
        <f>IFERROR(IF(J6=MAX($J$6:$J$22),J6,""),"0")</f>
        <v/>
      </c>
      <c r="L6" s="110">
        <f>IFERROR(IF(J6=MAX($J$6:$J$22),"",J6),"0")</f>
        <v>82201.149999999994</v>
      </c>
      <c r="M6" s="76">
        <f t="shared" ref="M6:M22" si="3">IFERROR(VLOOKUP(G6,$B$6:$F$22,4,FALSE),"-")</f>
        <v>1187</v>
      </c>
      <c r="N6" s="77">
        <f t="shared" ref="N6:N22" si="4">IFERROR(VLOOKUP(G6,$B$6:$F$22,5,FALSE),"-")</f>
        <v>4.7287068759461398E-2</v>
      </c>
      <c r="O6" s="326">
        <v>1881524.77</v>
      </c>
      <c r="P6" s="327">
        <v>215023.39973715009</v>
      </c>
      <c r="Q6" s="120">
        <f>GETPIVOTDATA("[Measures].[Sum of Sales]",$O$5)</f>
        <v>1881524.77</v>
      </c>
      <c r="R6" s="121">
        <v>1</v>
      </c>
      <c r="S6" s="122">
        <f>GETPIVOTDATA("[Measures].[Sum of Profit]",$O$5)/GETPIVOTDATA("[Measures].[Sum of Sales]",$O$5)</f>
        <v>0.11428146106051534</v>
      </c>
      <c r="U6" s="221" t="s">
        <v>164</v>
      </c>
      <c r="V6" s="359">
        <v>46826.45</v>
      </c>
      <c r="W6" s="183">
        <v>47890.441299999991</v>
      </c>
      <c r="X6" s="183">
        <v>355.02</v>
      </c>
      <c r="Y6" s="184">
        <v>-2418.0565999999999</v>
      </c>
      <c r="Z6" s="78" t="str">
        <f>_xlfn.CONCAT("Distribution of the ",$Z$7)</f>
        <v>Distribution of the Total Sales</v>
      </c>
      <c r="AA6" s="79" t="str">
        <f t="shared" si="0"/>
        <v>Alabama</v>
      </c>
      <c r="AB6" s="167" cm="1">
        <f t="array" ref="AB6:AB54">INDEX($V$6:$Y$54,,_xlfn.XMATCH($AB$5,$V$5:$Y$5))</f>
        <v>46826.45</v>
      </c>
      <c r="AC6" s="144">
        <f t="shared" ref="AC6:AC16" si="5">IF(AB6=0,0,1)</f>
        <v>1</v>
      </c>
      <c r="AD6" s="376" t="s">
        <v>14</v>
      </c>
      <c r="AE6" s="373" t="s">
        <v>8</v>
      </c>
      <c r="AF6" s="379" t="s">
        <v>3020</v>
      </c>
      <c r="AG6" s="380" t="s">
        <v>5</v>
      </c>
      <c r="AH6" s="380" t="s">
        <v>3</v>
      </c>
      <c r="AI6" s="380" t="s">
        <v>20</v>
      </c>
      <c r="AJ6" s="381" t="s">
        <v>22</v>
      </c>
      <c r="AK6" s="73"/>
      <c r="AL6" s="217" t="s">
        <v>3055</v>
      </c>
      <c r="AM6" s="217" t="s">
        <v>18</v>
      </c>
      <c r="AN6" s="390" t="s">
        <v>22</v>
      </c>
      <c r="AO6" s="380" t="s">
        <v>20</v>
      </c>
      <c r="AP6" s="381" t="s">
        <v>3058</v>
      </c>
      <c r="AQ6" s="59" t="s">
        <v>3056</v>
      </c>
      <c r="AR6" s="180" t="str">
        <f>AR5</f>
        <v>Sales</v>
      </c>
      <c r="AS6" s="61" t="s">
        <v>3059</v>
      </c>
      <c r="AT6" s="185" t="s">
        <v>3073</v>
      </c>
      <c r="AU6" s="394" t="s">
        <v>24</v>
      </c>
      <c r="AV6" s="379" t="s">
        <v>22</v>
      </c>
      <c r="AW6" s="380" t="s">
        <v>20</v>
      </c>
      <c r="AX6" s="381" t="s">
        <v>3016</v>
      </c>
      <c r="AY6" s="146" t="s">
        <v>24</v>
      </c>
      <c r="AZ6" s="194" t="str">
        <f>AZ5</f>
        <v>Sales</v>
      </c>
      <c r="BB6" s="221" t="s">
        <v>40</v>
      </c>
      <c r="BC6" s="253" t="s">
        <v>48</v>
      </c>
      <c r="BD6" s="254">
        <v>63290.400000000001</v>
      </c>
      <c r="BE6" s="255">
        <v>2527.2800779999957</v>
      </c>
      <c r="BF6" s="319">
        <v>59</v>
      </c>
      <c r="BG6" s="256">
        <v>42185</v>
      </c>
      <c r="BH6" s="68" cm="1">
        <f t="array" ref="BH6:BH25">IFERROR(INDEX($BD$6:$BG$25,,_xlfn.XMATCH($BI$4,$BD$5:$BG$5)),"")</f>
        <v>2527.2800779999957</v>
      </c>
      <c r="BI6" s="233" cm="1">
        <f t="array" ref="BI6:BI25">IFERROR(INDEX($BD$6:$BG$25,,_xlfn.XMATCH($BI$5,$BD$5:$BG$5)),"")</f>
        <v>42185</v>
      </c>
      <c r="BJ6" s="61" cm="1">
        <f t="array" ref="BJ6:BJ25">IFERROR(INDEX($BD$6:$BG$25,,_xlfn.XMATCH($BJ$5,$BD$5:$BG$5)),"")</f>
        <v>59</v>
      </c>
      <c r="BK6" s="78" t="str">
        <f>IFERROR(BC6,"")</f>
        <v>Low</v>
      </c>
      <c r="BL6" s="234">
        <f>IFERROR(BH6+BH11+BH16+BH21,"")</f>
        <v>34078.892534799998</v>
      </c>
      <c r="BM6" s="234">
        <f>$BL$6</f>
        <v>34078.892534799998</v>
      </c>
      <c r="BN6" s="234">
        <f t="shared" ref="BN6:BP6" si="6">$BL$6</f>
        <v>34078.892534799998</v>
      </c>
      <c r="BO6" s="234">
        <f t="shared" si="6"/>
        <v>34078.892534799998</v>
      </c>
      <c r="BP6" s="234">
        <f t="shared" si="6"/>
        <v>34078.892534799998</v>
      </c>
      <c r="BQ6" s="235">
        <f>IFERROR(BJ6+BJ11+BJ16+BJ21,"")</f>
        <v>278</v>
      </c>
      <c r="BR6" s="236">
        <f>IFERROR(MAX(BI6,BI11,BI16,BI21),"")</f>
        <v>42185</v>
      </c>
      <c r="BS6" s="68"/>
      <c r="BT6" s="221" t="s">
        <v>48</v>
      </c>
      <c r="BU6" s="221" t="s">
        <v>71</v>
      </c>
      <c r="BV6" s="254">
        <v>89371.54</v>
      </c>
      <c r="BW6" s="255">
        <v>8362.1729999999989</v>
      </c>
      <c r="BX6" s="319">
        <v>68</v>
      </c>
      <c r="BY6" s="256">
        <v>42183</v>
      </c>
      <c r="BZ6" s="68" cm="1">
        <f t="array" ref="BZ6:BZ25">IFERROR(INDEX($BV$6:$BY$25,,_xlfn.XMATCH($CA$4,$BV$5:$BY$5)),"")</f>
        <v>89371.54</v>
      </c>
      <c r="CA6" s="233" cm="1">
        <f t="array" ref="CA6:CA25">IFERROR(INDEX($BV$6:$BY$25,,_xlfn.XMATCH($CA$5,$BV$5:$BY$5)),"")</f>
        <v>42183</v>
      </c>
      <c r="CB6" s="237" cm="1">
        <f t="array" ref="CB6:CB25">IFERROR(INDEX($BV$6:$BY$25,,_xlfn.XMATCH($CB$5,$BV$5:$BY$5)),"")</f>
        <v>68</v>
      </c>
      <c r="CC6" s="68" t="str">
        <f>$CA$4</f>
        <v>Sales</v>
      </c>
      <c r="CD6" s="234">
        <f>IFERROR(BZ6+BZ10+BZ14+BZ18+BZ22,"")</f>
        <v>461345.73999999993</v>
      </c>
      <c r="CE6" s="234">
        <f>IFERROR(BZ7+BZ11+BZ15+BZ19+BZ23,"")</f>
        <v>394051.7</v>
      </c>
      <c r="CF6" s="234">
        <f>IFERROR(BZ8+BZ12+BZ16+BZ20+BZ24,"")</f>
        <v>634861.30999999994</v>
      </c>
      <c r="CG6" s="234">
        <f>IFERROR(BZ9+BZ13+BZ17+BZ21+BZ25,"")</f>
        <v>391266.02</v>
      </c>
      <c r="CH6" s="238">
        <f>CD6+CE6+CF6+CG6</f>
        <v>1881524.77</v>
      </c>
      <c r="CI6" s="103"/>
      <c r="CJ6" s="315" t="s">
        <v>652</v>
      </c>
      <c r="CK6" s="308">
        <v>69013.48</v>
      </c>
      <c r="CL6" s="297">
        <v>54</v>
      </c>
      <c r="CM6" s="55" t="str" cm="1">
        <f t="array" ref="CM6">IFERROR(_xlfn.IFS($CN$4="Sales",CJ6,$CN$4="Profit",CJ12),"")</f>
        <v>Fellowes PB500 Electric Punch Plastic Comb Binding Machine with Manual Bind</v>
      </c>
      <c r="CN6" s="284" cm="1">
        <f t="array" ref="CN6">IFERROR(_xlfn.IFS($CN$4="Sales",CK6,$CN$4="Profit",CK12),"")</f>
        <v>23865.904200000001</v>
      </c>
      <c r="CO6" s="285" cm="1">
        <f t="array" ref="CO6">IFERROR(_xlfn.IFS($CN$4="Sales",CL6,$CN$4="Profit",CL12),"")</f>
        <v>54</v>
      </c>
    </row>
    <row r="7" spans="2:93" x14ac:dyDescent="0.25">
      <c r="B7" s="340" t="s">
        <v>72</v>
      </c>
      <c r="C7" s="118">
        <v>185928.14</v>
      </c>
      <c r="D7" s="333">
        <v>9.8817800841388873E-2</v>
      </c>
      <c r="E7" s="63">
        <v>2554</v>
      </c>
      <c r="F7" s="334">
        <v>0.10174488088598518</v>
      </c>
      <c r="G7" s="74" t="s">
        <v>72</v>
      </c>
      <c r="H7" s="64">
        <v>6</v>
      </c>
      <c r="I7" s="64">
        <v>4</v>
      </c>
      <c r="J7" s="75">
        <f t="shared" si="2"/>
        <v>185928.14</v>
      </c>
      <c r="K7" s="110" t="str">
        <f t="shared" ref="K7:K22" si="7">IFERROR(IF(J7=MAX($J$6:$J$22),J7,""),"0")</f>
        <v/>
      </c>
      <c r="L7" s="110">
        <f t="shared" ref="L7:L22" si="8">IFERROR(IF(J7=MAX($J$6:$J$22),"",J7),"0")</f>
        <v>185928.14</v>
      </c>
      <c r="M7" s="76">
        <f t="shared" si="3"/>
        <v>2554</v>
      </c>
      <c r="N7" s="77">
        <f t="shared" si="4"/>
        <v>0.10174488088598518</v>
      </c>
      <c r="O7" s="63"/>
      <c r="P7" s="63"/>
      <c r="Q7" s="123">
        <f>Q6/1881524</f>
        <v>1.0000004092427204</v>
      </c>
      <c r="R7" s="65"/>
      <c r="S7" s="124"/>
      <c r="U7" s="222" t="s">
        <v>588</v>
      </c>
      <c r="V7" s="360">
        <v>14367.86</v>
      </c>
      <c r="W7" s="353">
        <v>9311.8074679999991</v>
      </c>
      <c r="X7" s="353">
        <v>470.02</v>
      </c>
      <c r="Y7" s="355">
        <v>3909.7538320000003</v>
      </c>
      <c r="Z7" s="78" t="str">
        <f>CHOOSE('Sales Map'!A5,"All other Cost", "Shipping Cost","Net Profit","Total Sales")</f>
        <v>Total Sales</v>
      </c>
      <c r="AA7" s="80" t="str">
        <f t="shared" si="0"/>
        <v>Arizona</v>
      </c>
      <c r="AB7" s="81">
        <v>14367.86</v>
      </c>
      <c r="AC7" s="144">
        <f t="shared" si="5"/>
        <v>1</v>
      </c>
      <c r="AD7" s="377" t="s">
        <v>53</v>
      </c>
      <c r="AE7" s="385" t="s">
        <v>29</v>
      </c>
      <c r="AF7" s="366">
        <v>131268.74200539998</v>
      </c>
      <c r="AG7" s="346">
        <v>3295</v>
      </c>
      <c r="AH7" s="346">
        <v>5.8499999999999943</v>
      </c>
      <c r="AI7" s="346">
        <v>6301.754294600003</v>
      </c>
      <c r="AJ7" s="347">
        <v>148455.14000000001</v>
      </c>
      <c r="AK7" s="73"/>
      <c r="AL7" s="221" t="s">
        <v>3034</v>
      </c>
      <c r="AM7" s="391">
        <v>42005</v>
      </c>
      <c r="AN7" s="345">
        <v>8666.18</v>
      </c>
      <c r="AO7" s="346">
        <v>-1531.8796999999997</v>
      </c>
      <c r="AP7" s="347">
        <v>44</v>
      </c>
      <c r="AQ7" s="59" cm="1">
        <f t="array" ref="AQ7:AQ185">INDEX(AM7:AM185,,)</f>
        <v>42005</v>
      </c>
      <c r="AR7" s="186" cm="1">
        <f t="array" ref="AR7:AR185">IFERROR(INDEX($AN$7:$AP$185,,_xlfn.XMATCH($AR$6,$AN$6:$AP$6)),"")</f>
        <v>8666.18</v>
      </c>
      <c r="AS7" s="61">
        <f>IF(AR7=0,0,1)</f>
        <v>1</v>
      </c>
      <c r="AT7" s="185">
        <f>WEEKNUM(AQ7)</f>
        <v>1</v>
      </c>
      <c r="AU7" s="395" t="s">
        <v>3012</v>
      </c>
      <c r="AV7" s="366">
        <v>441445.62</v>
      </c>
      <c r="AW7" s="346">
        <v>78645.775268599988</v>
      </c>
      <c r="AX7" s="347">
        <v>6546</v>
      </c>
      <c r="AY7" s="68" t="str" cm="1">
        <f t="array" ref="AY7:AY10">INDEX(AU7:AU10,,)</f>
        <v>Chris</v>
      </c>
      <c r="AZ7" s="181" cm="1">
        <f t="array" ref="AZ7:AZ10">IFERROR(INDEX($AV$7:$AX$10,,_xlfn.XMATCH($AZ$6,$AV$6:$AX$6)),"")</f>
        <v>441445.62</v>
      </c>
      <c r="BA7" s="73"/>
      <c r="BB7" s="222"/>
      <c r="BC7" s="257" t="s">
        <v>116</v>
      </c>
      <c r="BD7" s="258">
        <v>64628.160000000003</v>
      </c>
      <c r="BE7" s="320">
        <v>5637.9755199999981</v>
      </c>
      <c r="BF7" s="321">
        <v>54</v>
      </c>
      <c r="BG7" s="259">
        <v>42184</v>
      </c>
      <c r="BH7" s="68">
        <v>5637.9755199999981</v>
      </c>
      <c r="BI7" s="233">
        <v>42184</v>
      </c>
      <c r="BJ7" s="61">
        <v>54</v>
      </c>
      <c r="BK7" s="78" t="str">
        <f>IFERROR(BC7,"")</f>
        <v>Medium</v>
      </c>
      <c r="BL7" s="234">
        <f>IFERROR(BH7+BH12+BH17+BH22,"")</f>
        <v>42579.657761069997</v>
      </c>
      <c r="BM7" s="234">
        <f>$BL$7</f>
        <v>42579.657761069997</v>
      </c>
      <c r="BN7" s="234">
        <f t="shared" ref="BN7:BP7" si="9">$BL$7</f>
        <v>42579.657761069997</v>
      </c>
      <c r="BO7" s="234">
        <f t="shared" si="9"/>
        <v>42579.657761069997</v>
      </c>
      <c r="BP7" s="234">
        <f t="shared" si="9"/>
        <v>42579.657761069997</v>
      </c>
      <c r="BQ7" s="235">
        <f>IFERROR(BJ7+BJ12+BJ17+BJ22,"")</f>
        <v>263</v>
      </c>
      <c r="BR7" s="236">
        <f>IFERROR(MAX(BI7,BI12,BI17,BI22),"")</f>
        <v>42184</v>
      </c>
      <c r="BS7" s="68"/>
      <c r="BT7" s="222"/>
      <c r="BU7" s="267" t="s">
        <v>40</v>
      </c>
      <c r="BV7" s="258">
        <v>63290.400000000001</v>
      </c>
      <c r="BW7" s="320">
        <v>2527.2800779999957</v>
      </c>
      <c r="BX7" s="321">
        <v>59</v>
      </c>
      <c r="BY7" s="259">
        <v>42185</v>
      </c>
      <c r="BZ7" s="68">
        <v>63290.400000000001</v>
      </c>
      <c r="CA7" s="233">
        <v>42185</v>
      </c>
      <c r="CB7" s="237">
        <v>59</v>
      </c>
      <c r="CC7" s="68" t="str">
        <f>_xlfn.CONCAT("Difference from Max ",CC6)</f>
        <v>Difference from Max Sales</v>
      </c>
      <c r="CD7" s="239">
        <f>MAX($CD$6:$CG$6)-CD6+100000</f>
        <v>273515.57</v>
      </c>
      <c r="CE7" s="239">
        <f t="shared" ref="CE7:CG7" si="10">MAX($CD$6:$CG$6)-CE6+100000</f>
        <v>340809.60999999993</v>
      </c>
      <c r="CF7" s="239">
        <f t="shared" si="10"/>
        <v>100000</v>
      </c>
      <c r="CG7" s="239">
        <f t="shared" si="10"/>
        <v>343595.28999999992</v>
      </c>
      <c r="CH7" s="144"/>
      <c r="CI7" s="103"/>
      <c r="CJ7" s="316" t="s">
        <v>2296</v>
      </c>
      <c r="CK7" s="309">
        <v>50871.21</v>
      </c>
      <c r="CL7" s="296">
        <v>96</v>
      </c>
      <c r="CM7" s="55" t="str" cm="1">
        <f t="array" ref="CM7">IFERROR(_xlfn.IFS($CN$4="Sales",CJ7,$CN$4="Profit",CJ13),"")</f>
        <v>Global Troy™ Executive Leather Low-Back Tilter</v>
      </c>
      <c r="CN7" s="284" cm="1">
        <f t="array" ref="CN7">IFERROR(_xlfn.IFS($CN$4="Sales",CK7,$CN$4="Profit",CK13),"")</f>
        <v>18628.1453</v>
      </c>
      <c r="CO7" s="285" cm="1">
        <f t="array" ref="CO7">IFERROR(_xlfn.IFS($CN$4="Sales",CL7,$CN$4="Profit",CL13),"")</f>
        <v>96</v>
      </c>
    </row>
    <row r="8" spans="2:93" ht="15.75" thickBot="1" x14ac:dyDescent="0.3">
      <c r="B8" s="340" t="s">
        <v>117</v>
      </c>
      <c r="C8" s="118">
        <v>107796.09</v>
      </c>
      <c r="D8" s="333">
        <v>5.7291879287882028E-2</v>
      </c>
      <c r="E8" s="63">
        <v>536</v>
      </c>
      <c r="F8" s="334">
        <v>2.1352880248585771E-2</v>
      </c>
      <c r="G8" s="74" t="s">
        <v>117</v>
      </c>
      <c r="H8" s="64">
        <v>3</v>
      </c>
      <c r="I8" s="64">
        <v>1.25</v>
      </c>
      <c r="J8" s="75">
        <f t="shared" si="2"/>
        <v>107796.09</v>
      </c>
      <c r="K8" s="110" t="str">
        <f t="shared" si="7"/>
        <v/>
      </c>
      <c r="L8" s="110">
        <f t="shared" si="8"/>
        <v>107796.09</v>
      </c>
      <c r="M8" s="76">
        <f t="shared" si="3"/>
        <v>536</v>
      </c>
      <c r="N8" s="77">
        <f t="shared" si="4"/>
        <v>2.1352880248585771E-2</v>
      </c>
      <c r="O8" s="63"/>
      <c r="P8" s="63"/>
      <c r="Q8" s="63"/>
      <c r="R8" s="121"/>
      <c r="S8" s="119"/>
      <c r="U8" s="222" t="s">
        <v>45</v>
      </c>
      <c r="V8" s="360">
        <v>11724.43</v>
      </c>
      <c r="W8" s="353">
        <v>12100.591699999999</v>
      </c>
      <c r="X8" s="353">
        <v>194.83</v>
      </c>
      <c r="Y8" s="355">
        <v>-1184.7471999999998</v>
      </c>
      <c r="Z8" s="78"/>
      <c r="AA8" s="80" t="str">
        <f t="shared" si="0"/>
        <v>Arkansas</v>
      </c>
      <c r="AB8" s="81">
        <v>11724.43</v>
      </c>
      <c r="AC8" s="144">
        <f t="shared" si="5"/>
        <v>1</v>
      </c>
      <c r="AD8" s="383" t="s">
        <v>53</v>
      </c>
      <c r="AE8" s="386" t="s">
        <v>49</v>
      </c>
      <c r="AF8" s="382">
        <v>80084.997369999983</v>
      </c>
      <c r="AG8" s="146">
        <v>2496</v>
      </c>
      <c r="AH8" s="146">
        <v>15.109999999999983</v>
      </c>
      <c r="AI8" s="146">
        <v>28333.074329999999</v>
      </c>
      <c r="AJ8" s="147">
        <v>115119.97</v>
      </c>
      <c r="AK8" s="73"/>
      <c r="AL8" s="222"/>
      <c r="AM8" s="392">
        <v>42006</v>
      </c>
      <c r="AN8" s="348">
        <v>24319.919999999998</v>
      </c>
      <c r="AO8" s="146">
        <v>4732.3343200000018</v>
      </c>
      <c r="AP8" s="147">
        <v>217</v>
      </c>
      <c r="AQ8" s="59">
        <v>42006</v>
      </c>
      <c r="AR8" s="180">
        <v>24319.919999999998</v>
      </c>
      <c r="AS8" s="61">
        <f t="shared" ref="AS8:AS73" si="11">IF(AR8=0,0,1)</f>
        <v>1</v>
      </c>
      <c r="AT8" s="185">
        <f t="shared" ref="AT8:AT71" si="12">WEEKNUM(AQ8)</f>
        <v>1</v>
      </c>
      <c r="AU8" s="396" t="s">
        <v>3014</v>
      </c>
      <c r="AV8" s="382">
        <v>584724.18999999994</v>
      </c>
      <c r="AW8" s="146">
        <v>85577.445845999988</v>
      </c>
      <c r="AX8" s="147">
        <v>6995</v>
      </c>
      <c r="AY8" s="68" t="str">
        <v>Erin</v>
      </c>
      <c r="AZ8" s="181">
        <v>584724.18999999994</v>
      </c>
      <c r="BA8" s="82"/>
      <c r="BB8" s="222"/>
      <c r="BC8" s="257" t="s">
        <v>38</v>
      </c>
      <c r="BD8" s="258">
        <v>73873.66</v>
      </c>
      <c r="BE8" s="320">
        <v>957.54042259999983</v>
      </c>
      <c r="BF8" s="321">
        <v>64</v>
      </c>
      <c r="BG8" s="259">
        <v>42185</v>
      </c>
      <c r="BH8" s="68">
        <v>957.54042259999983</v>
      </c>
      <c r="BI8" s="233">
        <v>42185</v>
      </c>
      <c r="BJ8" s="61">
        <v>64</v>
      </c>
      <c r="BK8" s="78" t="str">
        <f>IFERROR(BC8,"")</f>
        <v>High</v>
      </c>
      <c r="BL8" s="234">
        <f>IFERROR(BH8+BH13+BH18+BH23,"")</f>
        <v>35793.009311599999</v>
      </c>
      <c r="BM8" s="234">
        <f>$BL$8</f>
        <v>35793.009311599999</v>
      </c>
      <c r="BN8" s="234">
        <f t="shared" ref="BN8:BP8" si="13">$BL$8</f>
        <v>35793.009311599999</v>
      </c>
      <c r="BO8" s="234">
        <f t="shared" si="13"/>
        <v>35793.009311599999</v>
      </c>
      <c r="BP8" s="234">
        <f t="shared" si="13"/>
        <v>35793.009311599999</v>
      </c>
      <c r="BQ8" s="235">
        <f>IFERROR(BJ8+BJ13+BJ18+BJ23,"")</f>
        <v>268</v>
      </c>
      <c r="BR8" s="236">
        <f>IFERROR(MAX(BI8,BI13,BI18,BI23),"")</f>
        <v>42185</v>
      </c>
      <c r="BS8" s="68"/>
      <c r="BT8" s="222"/>
      <c r="BU8" s="267" t="s">
        <v>94</v>
      </c>
      <c r="BV8" s="258">
        <v>115128.37</v>
      </c>
      <c r="BW8" s="320">
        <v>14952.849699999999</v>
      </c>
      <c r="BX8" s="321">
        <v>89</v>
      </c>
      <c r="BY8" s="259">
        <v>42185</v>
      </c>
      <c r="BZ8" s="68">
        <v>115128.37</v>
      </c>
      <c r="CA8" s="233">
        <v>42185</v>
      </c>
      <c r="CB8" s="237">
        <v>89</v>
      </c>
      <c r="CC8" s="68" t="s">
        <v>3075</v>
      </c>
      <c r="CD8" s="240">
        <f>IFERROR(CB6+CB10+CB14+CB18+CB22,"")</f>
        <v>334</v>
      </c>
      <c r="CE8" s="240">
        <f>IFERROR(CB7+CB11+CB15+CB19+CB23,"")</f>
        <v>294</v>
      </c>
      <c r="CF8" s="240">
        <f>IFERROR(CB8+CB12+CB16+CB20+CB24,"")</f>
        <v>470</v>
      </c>
      <c r="CG8" s="240">
        <f>IFERROR(CB9+CB13+CB17+CB21+CB25,"")</f>
        <v>263</v>
      </c>
      <c r="CH8" s="241">
        <f>SUM(CD8:CG8)</f>
        <v>1361</v>
      </c>
      <c r="CI8" s="103"/>
      <c r="CJ8" s="317" t="s">
        <v>59</v>
      </c>
      <c r="CK8" s="310">
        <v>61071.73</v>
      </c>
      <c r="CL8" s="412">
        <v>35</v>
      </c>
      <c r="CM8" s="55" t="str" cm="1">
        <f t="array" ref="CM8">IFERROR(_xlfn.IFS($CN$4="Sales",CJ8,$CN$4="Profit",CJ14),"")</f>
        <v>Lexmark 4227 Plus Dot Matrix Printer</v>
      </c>
      <c r="CN8" s="284" cm="1">
        <f t="array" ref="CN8">IFERROR(_xlfn.IFS($CN$4="Sales",CK8,$CN$4="Profit",CK14),"")</f>
        <v>3700.3742000000002</v>
      </c>
      <c r="CO8" s="285" cm="1">
        <f t="array" ref="CO8">IFERROR(_xlfn.IFS($CN$4="Sales",CL8,$CN$4="Profit",CL14),"")</f>
        <v>35</v>
      </c>
    </row>
    <row r="9" spans="2:93" ht="15.75" thickBot="1" x14ac:dyDescent="0.3">
      <c r="B9" s="340" t="s">
        <v>109</v>
      </c>
      <c r="C9" s="118">
        <v>241200.42</v>
      </c>
      <c r="D9" s="333">
        <v>0.12819412417302378</v>
      </c>
      <c r="E9" s="63">
        <v>1138</v>
      </c>
      <c r="F9" s="334">
        <v>4.5335033065094413E-2</v>
      </c>
      <c r="G9" s="74" t="s">
        <v>109</v>
      </c>
      <c r="H9" s="64">
        <v>13</v>
      </c>
      <c r="I9" s="64">
        <v>4</v>
      </c>
      <c r="J9" s="75">
        <f t="shared" si="2"/>
        <v>241200.42</v>
      </c>
      <c r="K9" s="110" t="str">
        <f t="shared" si="7"/>
        <v/>
      </c>
      <c r="L9" s="110">
        <f t="shared" si="8"/>
        <v>241200.42</v>
      </c>
      <c r="M9" s="76">
        <f t="shared" si="3"/>
        <v>1138</v>
      </c>
      <c r="N9" s="77">
        <f t="shared" si="4"/>
        <v>4.5335033065094413E-2</v>
      </c>
      <c r="O9" s="63"/>
      <c r="P9" s="63"/>
      <c r="Q9" s="63"/>
      <c r="R9" s="65"/>
      <c r="S9" s="119"/>
      <c r="U9" s="222" t="s">
        <v>90</v>
      </c>
      <c r="V9" s="360">
        <v>284805.40999999997</v>
      </c>
      <c r="W9" s="353">
        <v>230143.90850799993</v>
      </c>
      <c r="X9" s="353">
        <v>2663.33</v>
      </c>
      <c r="Y9" s="355">
        <v>36187.568192000006</v>
      </c>
      <c r="Z9" s="78"/>
      <c r="AA9" s="80" t="str">
        <f t="shared" si="0"/>
        <v>California</v>
      </c>
      <c r="AB9" s="81">
        <v>284805.40999999997</v>
      </c>
      <c r="AC9" s="144">
        <f t="shared" si="5"/>
        <v>1</v>
      </c>
      <c r="AD9" s="383" t="s">
        <v>53</v>
      </c>
      <c r="AE9" s="387" t="s">
        <v>41</v>
      </c>
      <c r="AF9" s="382">
        <v>123747.83775599999</v>
      </c>
      <c r="AG9" s="146">
        <v>1229.6600000000001</v>
      </c>
      <c r="AH9" s="146">
        <v>6.4799999999999933</v>
      </c>
      <c r="AI9" s="146">
        <v>44010.946644000011</v>
      </c>
      <c r="AJ9" s="147">
        <v>177870.51</v>
      </c>
      <c r="AK9" s="73"/>
      <c r="AL9" s="222"/>
      <c r="AM9" s="392">
        <v>42007</v>
      </c>
      <c r="AN9" s="348">
        <v>10134.42</v>
      </c>
      <c r="AO9" s="146">
        <v>-1846.3482200000001</v>
      </c>
      <c r="AP9" s="147">
        <v>158</v>
      </c>
      <c r="AQ9" s="59">
        <v>42007</v>
      </c>
      <c r="AR9" s="180">
        <v>10134.42</v>
      </c>
      <c r="AS9" s="61">
        <f t="shared" si="11"/>
        <v>1</v>
      </c>
      <c r="AT9" s="185">
        <f t="shared" si="12"/>
        <v>1</v>
      </c>
      <c r="AU9" s="396" t="s">
        <v>3011</v>
      </c>
      <c r="AV9" s="382">
        <v>341328.32</v>
      </c>
      <c r="AW9" s="146">
        <v>-17431.355779449979</v>
      </c>
      <c r="AX9" s="147">
        <v>4992</v>
      </c>
      <c r="AY9" s="68" t="str">
        <v>Sam</v>
      </c>
      <c r="AZ9" s="181">
        <v>341328.32</v>
      </c>
      <c r="BB9" s="222"/>
      <c r="BC9" s="257" t="s">
        <v>26</v>
      </c>
      <c r="BD9" s="258">
        <v>132021.04</v>
      </c>
      <c r="BE9" s="320">
        <v>23965.52246</v>
      </c>
      <c r="BF9" s="321">
        <v>56</v>
      </c>
      <c r="BG9" s="259">
        <v>42177</v>
      </c>
      <c r="BH9" s="68">
        <v>23965.52246</v>
      </c>
      <c r="BI9" s="233">
        <v>42177</v>
      </c>
      <c r="BJ9" s="61">
        <v>56</v>
      </c>
      <c r="BK9" s="78" t="str">
        <f>IFERROR(BC9,"")</f>
        <v>Critical</v>
      </c>
      <c r="BL9" s="234">
        <f>IFERROR(BH9+BH14+BH19+BH24,"")</f>
        <v>35087.324923680004</v>
      </c>
      <c r="BM9" s="234">
        <f>$BL$9</f>
        <v>35087.324923680004</v>
      </c>
      <c r="BN9" s="234">
        <f t="shared" ref="BN9:BP9" si="14">$BL$9</f>
        <v>35087.324923680004</v>
      </c>
      <c r="BO9" s="234">
        <f t="shared" si="14"/>
        <v>35087.324923680004</v>
      </c>
      <c r="BP9" s="234">
        <f t="shared" si="14"/>
        <v>35087.324923680004</v>
      </c>
      <c r="BQ9" s="235">
        <f>IFERROR(BJ9+BJ14+BJ19+BJ24,"")</f>
        <v>275</v>
      </c>
      <c r="BR9" s="236">
        <f>IFERROR(MAX(BI9,BI14,BI19,BI24),"")</f>
        <v>42183</v>
      </c>
      <c r="BS9" s="68"/>
      <c r="BT9" s="222"/>
      <c r="BU9" s="268" t="s">
        <v>28</v>
      </c>
      <c r="BV9" s="258">
        <v>102908.14</v>
      </c>
      <c r="BW9" s="320">
        <v>8236.5897568000019</v>
      </c>
      <c r="BX9" s="321">
        <v>62</v>
      </c>
      <c r="BY9" s="259">
        <v>42185</v>
      </c>
      <c r="BZ9" s="68">
        <v>102908.14</v>
      </c>
      <c r="CA9" s="233">
        <v>42185</v>
      </c>
      <c r="CB9" s="237">
        <v>62</v>
      </c>
      <c r="CC9" s="68"/>
      <c r="CD9" s="68"/>
      <c r="CE9" s="68"/>
      <c r="CF9" s="68"/>
      <c r="CG9" s="68"/>
      <c r="CH9" s="144"/>
      <c r="CI9" s="103"/>
      <c r="CJ9" s="286"/>
      <c r="CK9" s="271"/>
      <c r="CL9" s="296"/>
      <c r="CO9" s="287"/>
    </row>
    <row r="10" spans="2:93" ht="15.75" thickBot="1" x14ac:dyDescent="0.3">
      <c r="B10" s="340" t="s">
        <v>42</v>
      </c>
      <c r="C10" s="118">
        <v>96261.3</v>
      </c>
      <c r="D10" s="333">
        <v>5.1161324865258088E-2</v>
      </c>
      <c r="E10" s="63">
        <v>2481</v>
      </c>
      <c r="F10" s="334">
        <v>9.8836746076009882E-2</v>
      </c>
      <c r="G10" s="74" t="s">
        <v>42</v>
      </c>
      <c r="H10" s="64">
        <v>19</v>
      </c>
      <c r="I10" s="64">
        <v>3</v>
      </c>
      <c r="J10" s="75">
        <f t="shared" si="2"/>
        <v>96261.3</v>
      </c>
      <c r="K10" s="110" t="str">
        <f t="shared" si="7"/>
        <v/>
      </c>
      <c r="L10" s="110">
        <f t="shared" si="8"/>
        <v>96261.3</v>
      </c>
      <c r="M10" s="76">
        <f t="shared" si="3"/>
        <v>2481</v>
      </c>
      <c r="N10" s="77">
        <f t="shared" si="4"/>
        <v>9.8836746076009882E-2</v>
      </c>
      <c r="O10" s="63"/>
      <c r="P10" s="63"/>
      <c r="Q10" s="63"/>
      <c r="R10" s="65"/>
      <c r="S10" s="119"/>
      <c r="U10" s="222" t="s">
        <v>61</v>
      </c>
      <c r="V10" s="360">
        <v>45843.45</v>
      </c>
      <c r="W10" s="353">
        <v>36998.436740000012</v>
      </c>
      <c r="X10" s="353">
        <v>629.29999999999995</v>
      </c>
      <c r="Y10" s="355">
        <v>6965.4626600000001</v>
      </c>
      <c r="Z10" s="78"/>
      <c r="AA10" s="158" t="str">
        <f t="shared" si="0"/>
        <v>Colorado</v>
      </c>
      <c r="AB10" s="168">
        <v>45843.45</v>
      </c>
      <c r="AC10" s="144">
        <f t="shared" si="5"/>
        <v>1</v>
      </c>
      <c r="AD10" s="378" t="s">
        <v>111</v>
      </c>
      <c r="AE10" s="385" t="s">
        <v>29</v>
      </c>
      <c r="AF10" s="364">
        <v>178464.49809199994</v>
      </c>
      <c r="AG10" s="365">
        <v>3275.32</v>
      </c>
      <c r="AH10" s="365">
        <v>4.7399999999999949</v>
      </c>
      <c r="AI10" s="365">
        <v>-923.6501919999962</v>
      </c>
      <c r="AJ10" s="367">
        <v>189677.38</v>
      </c>
      <c r="AK10" s="73"/>
      <c r="AL10" s="222"/>
      <c r="AM10" s="392">
        <v>42008</v>
      </c>
      <c r="AN10" s="348">
        <v>5470.58</v>
      </c>
      <c r="AO10" s="146">
        <v>516.22190000000012</v>
      </c>
      <c r="AP10" s="147">
        <v>40</v>
      </c>
      <c r="AQ10" s="59">
        <v>42008</v>
      </c>
      <c r="AR10" s="180">
        <v>5470.58</v>
      </c>
      <c r="AS10" s="61">
        <f t="shared" si="11"/>
        <v>1</v>
      </c>
      <c r="AT10" s="185">
        <f t="shared" si="12"/>
        <v>2</v>
      </c>
      <c r="AU10" s="397" t="s">
        <v>3013</v>
      </c>
      <c r="AV10" s="388">
        <v>514026.64</v>
      </c>
      <c r="AW10" s="149">
        <v>68231.53440199999</v>
      </c>
      <c r="AX10" s="150">
        <v>6569</v>
      </c>
      <c r="AY10" s="175" t="str">
        <v>William</v>
      </c>
      <c r="AZ10" s="195">
        <v>514026.64</v>
      </c>
      <c r="BB10" s="222"/>
      <c r="BC10" s="260" t="s">
        <v>3094</v>
      </c>
      <c r="BD10" s="258">
        <v>60238.44</v>
      </c>
      <c r="BE10" s="320">
        <v>13436.388891999999</v>
      </c>
      <c r="BF10" s="321">
        <v>61</v>
      </c>
      <c r="BG10" s="259">
        <v>42185</v>
      </c>
      <c r="BH10" s="68">
        <v>13436.388891999999</v>
      </c>
      <c r="BI10" s="233">
        <v>42185</v>
      </c>
      <c r="BJ10" s="61">
        <v>61</v>
      </c>
      <c r="BK10" s="78" t="str">
        <f>IFERROR(BC10,"")</f>
        <v>N/A</v>
      </c>
      <c r="BL10" s="234">
        <f>IFERROR(BH10+BH15+BH20+BH25,"")</f>
        <v>67484.515206000011</v>
      </c>
      <c r="BM10" s="234">
        <f>$BL$10</f>
        <v>67484.515206000011</v>
      </c>
      <c r="BN10" s="234">
        <f t="shared" ref="BN10:BP10" si="15">$BL$10</f>
        <v>67484.515206000011</v>
      </c>
      <c r="BO10" s="234">
        <f t="shared" si="15"/>
        <v>67484.515206000011</v>
      </c>
      <c r="BP10" s="234">
        <f t="shared" si="15"/>
        <v>67484.515206000011</v>
      </c>
      <c r="BQ10" s="235">
        <f>IFERROR(BJ10+BJ15+BJ20+BJ25,"")</f>
        <v>277</v>
      </c>
      <c r="BR10" s="236">
        <f>IFERROR(MAX(BI10,BI15,BI20,BI25),"")</f>
        <v>42185</v>
      </c>
      <c r="BS10" s="68"/>
      <c r="BT10" s="225" t="s">
        <v>116</v>
      </c>
      <c r="BU10" s="221" t="s">
        <v>71</v>
      </c>
      <c r="BV10" s="261">
        <v>92000.75</v>
      </c>
      <c r="BW10" s="262">
        <v>4680.4503269200004</v>
      </c>
      <c r="BX10" s="322">
        <v>73</v>
      </c>
      <c r="BY10" s="263">
        <v>42172</v>
      </c>
      <c r="BZ10" s="68">
        <v>92000.75</v>
      </c>
      <c r="CA10" s="233">
        <v>42172</v>
      </c>
      <c r="CB10" s="237">
        <v>73</v>
      </c>
      <c r="CC10" s="68"/>
      <c r="CD10" s="68"/>
      <c r="CE10" s="68"/>
      <c r="CF10" s="68"/>
      <c r="CG10" s="68"/>
      <c r="CH10" s="144"/>
      <c r="CI10" s="103"/>
      <c r="CJ10" s="288" t="s">
        <v>3108</v>
      </c>
      <c r="CK10" s="281"/>
      <c r="CL10" s="296"/>
      <c r="CO10" s="287"/>
    </row>
    <row r="11" spans="2:93" ht="15.75" thickBot="1" x14ac:dyDescent="0.3">
      <c r="B11" s="340" t="s">
        <v>64</v>
      </c>
      <c r="C11" s="118">
        <v>99069.48</v>
      </c>
      <c r="D11" s="333">
        <v>5.2653827140420793E-2</v>
      </c>
      <c r="E11" s="63">
        <v>181</v>
      </c>
      <c r="F11" s="334">
        <v>7.2105808302127322E-3</v>
      </c>
      <c r="G11" s="74" t="s">
        <v>64</v>
      </c>
      <c r="H11" s="64">
        <v>20</v>
      </c>
      <c r="I11" s="64">
        <v>7</v>
      </c>
      <c r="J11" s="75">
        <f t="shared" si="2"/>
        <v>99069.48</v>
      </c>
      <c r="K11" s="110" t="str">
        <f t="shared" si="7"/>
        <v/>
      </c>
      <c r="L11" s="110">
        <f t="shared" si="8"/>
        <v>99069.48</v>
      </c>
      <c r="M11" s="76">
        <f t="shared" si="3"/>
        <v>181</v>
      </c>
      <c r="N11" s="77">
        <f t="shared" si="4"/>
        <v>7.2105808302127322E-3</v>
      </c>
      <c r="O11" s="63"/>
      <c r="P11" s="63"/>
      <c r="Q11" s="63"/>
      <c r="R11" s="65"/>
      <c r="S11" s="119"/>
      <c r="U11" s="222" t="s">
        <v>248</v>
      </c>
      <c r="V11" s="360">
        <v>6540.54</v>
      </c>
      <c r="W11" s="353">
        <v>6419.3464000000004</v>
      </c>
      <c r="X11" s="353">
        <v>232.22</v>
      </c>
      <c r="Y11" s="355">
        <v>-529.10630000000003</v>
      </c>
      <c r="Z11" s="78"/>
      <c r="AA11" s="158" t="str">
        <f t="shared" si="0"/>
        <v>Connecticut</v>
      </c>
      <c r="AB11" s="168">
        <v>6540.54</v>
      </c>
      <c r="AC11" s="144">
        <f t="shared" si="5"/>
        <v>1</v>
      </c>
      <c r="AD11" s="383" t="s">
        <v>111</v>
      </c>
      <c r="AE11" s="386" t="s">
        <v>49</v>
      </c>
      <c r="AF11" s="382">
        <v>147891.75536999988</v>
      </c>
      <c r="AG11" s="146">
        <v>2138.65</v>
      </c>
      <c r="AH11" s="146">
        <v>13.469999999999972</v>
      </c>
      <c r="AI11" s="146">
        <v>51854.281129999996</v>
      </c>
      <c r="AJ11" s="147">
        <v>210991.5</v>
      </c>
      <c r="AK11" s="73"/>
      <c r="AL11" s="222"/>
      <c r="AM11" s="392">
        <v>42009</v>
      </c>
      <c r="AN11" s="348">
        <v>20160.509999999998</v>
      </c>
      <c r="AO11" s="146">
        <v>85.877311999999989</v>
      </c>
      <c r="AP11" s="147">
        <v>156</v>
      </c>
      <c r="AQ11" s="59">
        <v>42009</v>
      </c>
      <c r="AR11" s="180">
        <v>20160.509999999998</v>
      </c>
      <c r="AS11" s="61">
        <f t="shared" si="11"/>
        <v>1</v>
      </c>
      <c r="AT11" s="185">
        <f t="shared" si="12"/>
        <v>2</v>
      </c>
      <c r="AU11" s="68"/>
      <c r="AV11" s="68"/>
      <c r="AW11" s="68"/>
      <c r="AX11" s="68"/>
      <c r="AY11" s="68"/>
      <c r="AZ11" s="68"/>
      <c r="BB11" s="225" t="s">
        <v>94</v>
      </c>
      <c r="BC11" s="253" t="s">
        <v>48</v>
      </c>
      <c r="BD11" s="261">
        <v>115128.37</v>
      </c>
      <c r="BE11" s="262">
        <v>14952.849699999999</v>
      </c>
      <c r="BF11" s="322">
        <v>89</v>
      </c>
      <c r="BG11" s="263">
        <v>42185</v>
      </c>
      <c r="BH11" s="68">
        <v>14952.849699999999</v>
      </c>
      <c r="BI11" s="233">
        <v>42185</v>
      </c>
      <c r="BJ11" s="61">
        <v>89</v>
      </c>
      <c r="BK11" s="78"/>
      <c r="BL11" s="242">
        <f>SUM(BL6:BL10)</f>
        <v>215023.39973715</v>
      </c>
      <c r="BM11" s="68"/>
      <c r="BN11" s="68"/>
      <c r="BO11" s="68"/>
      <c r="BP11" s="68"/>
      <c r="BQ11" s="243">
        <f>SUM(BQ6:BQ10)</f>
        <v>1361</v>
      </c>
      <c r="BR11" s="144"/>
      <c r="BS11" s="68"/>
      <c r="BT11" s="222"/>
      <c r="BU11" s="267" t="s">
        <v>40</v>
      </c>
      <c r="BV11" s="258">
        <v>64628.160000000003</v>
      </c>
      <c r="BW11" s="320">
        <v>5637.9755199999981</v>
      </c>
      <c r="BX11" s="321">
        <v>54</v>
      </c>
      <c r="BY11" s="259">
        <v>42184</v>
      </c>
      <c r="BZ11" s="68">
        <v>64628.160000000003</v>
      </c>
      <c r="CA11" s="233">
        <v>42184</v>
      </c>
      <c r="CB11" s="237">
        <v>54</v>
      </c>
      <c r="CC11" s="68"/>
      <c r="CD11" s="68"/>
      <c r="CE11" s="68"/>
      <c r="CF11" s="68"/>
      <c r="CG11" s="68"/>
      <c r="CH11" s="144"/>
      <c r="CI11" s="103"/>
      <c r="CJ11" s="314" t="s">
        <v>11</v>
      </c>
      <c r="CK11" s="312" t="s">
        <v>20</v>
      </c>
      <c r="CL11" s="318" t="s">
        <v>3016</v>
      </c>
      <c r="CO11" s="287"/>
    </row>
    <row r="12" spans="2:93" ht="15.75" thickBot="1" x14ac:dyDescent="0.3">
      <c r="B12" s="340" t="s">
        <v>345</v>
      </c>
      <c r="C12" s="118">
        <v>10479.77</v>
      </c>
      <c r="D12" s="333">
        <v>5.569828347250512E-3</v>
      </c>
      <c r="E12" s="63">
        <v>590</v>
      </c>
      <c r="F12" s="334">
        <v>2.3504103258704487E-2</v>
      </c>
      <c r="G12" s="74" t="s">
        <v>345</v>
      </c>
      <c r="H12" s="64">
        <v>25</v>
      </c>
      <c r="I12" s="64">
        <v>11</v>
      </c>
      <c r="J12" s="75">
        <f t="shared" si="2"/>
        <v>10479.77</v>
      </c>
      <c r="K12" s="110" t="str">
        <f t="shared" si="7"/>
        <v/>
      </c>
      <c r="L12" s="110">
        <f t="shared" si="8"/>
        <v>10479.77</v>
      </c>
      <c r="M12" s="76">
        <f t="shared" si="3"/>
        <v>590</v>
      </c>
      <c r="N12" s="77">
        <f t="shared" si="4"/>
        <v>2.3504103258704487E-2</v>
      </c>
      <c r="O12" s="63"/>
      <c r="P12" s="63"/>
      <c r="Q12" s="63"/>
      <c r="R12" s="65"/>
      <c r="S12" s="119"/>
      <c r="U12" s="222" t="s">
        <v>1608</v>
      </c>
      <c r="V12" s="360">
        <v>1257.76</v>
      </c>
      <c r="W12" s="353">
        <v>824.82439999999997</v>
      </c>
      <c r="X12" s="353">
        <v>9.4700000000000006</v>
      </c>
      <c r="Y12" s="355">
        <v>406.74180000000001</v>
      </c>
      <c r="Z12" s="78"/>
      <c r="AA12" s="158" t="str">
        <f t="shared" si="0"/>
        <v>Delaware</v>
      </c>
      <c r="AB12" s="168">
        <v>1257.76</v>
      </c>
      <c r="AC12" s="144">
        <f t="shared" si="5"/>
        <v>1</v>
      </c>
      <c r="AD12" s="383" t="s">
        <v>111</v>
      </c>
      <c r="AE12" s="387" t="s">
        <v>41</v>
      </c>
      <c r="AF12" s="382">
        <v>138872.93219199998</v>
      </c>
      <c r="AG12" s="146">
        <v>1032.54</v>
      </c>
      <c r="AH12" s="146">
        <v>5.1499999999999941</v>
      </c>
      <c r="AI12" s="146">
        <v>34646.814908</v>
      </c>
      <c r="AJ12" s="147">
        <v>184055.31</v>
      </c>
      <c r="AK12" s="73"/>
      <c r="AL12" s="222"/>
      <c r="AM12" s="392">
        <v>42010</v>
      </c>
      <c r="AN12" s="348">
        <v>11123.41</v>
      </c>
      <c r="AO12" s="146">
        <v>-14013.903899999998</v>
      </c>
      <c r="AP12" s="147">
        <v>140</v>
      </c>
      <c r="AQ12" s="59">
        <v>42010</v>
      </c>
      <c r="AR12" s="180">
        <v>11123.41</v>
      </c>
      <c r="AS12" s="61">
        <f t="shared" si="11"/>
        <v>1</v>
      </c>
      <c r="AT12" s="185">
        <f t="shared" si="12"/>
        <v>2</v>
      </c>
      <c r="AU12" s="139" t="s">
        <v>3089</v>
      </c>
      <c r="AV12" s="140"/>
      <c r="AW12" s="140"/>
      <c r="AX12" s="140"/>
      <c r="AY12" s="142"/>
      <c r="AZ12" s="68"/>
      <c r="BB12" s="222"/>
      <c r="BC12" s="257" t="s">
        <v>116</v>
      </c>
      <c r="BD12" s="258">
        <v>152913.95000000001</v>
      </c>
      <c r="BE12" s="320">
        <v>19029.767415400001</v>
      </c>
      <c r="BF12" s="321">
        <v>89</v>
      </c>
      <c r="BG12" s="259">
        <v>42173</v>
      </c>
      <c r="BH12" s="68">
        <v>19029.767415400001</v>
      </c>
      <c r="BI12" s="233">
        <v>42173</v>
      </c>
      <c r="BJ12" s="61">
        <v>89</v>
      </c>
      <c r="BK12" s="78"/>
      <c r="BL12" s="68"/>
      <c r="BM12" s="68"/>
      <c r="BN12" s="68"/>
      <c r="BO12" s="68"/>
      <c r="BP12" s="68"/>
      <c r="BQ12" s="68"/>
      <c r="BR12" s="144"/>
      <c r="BS12" s="68"/>
      <c r="BT12" s="222"/>
      <c r="BU12" s="267" t="s">
        <v>94</v>
      </c>
      <c r="BV12" s="258">
        <v>152913.95000000001</v>
      </c>
      <c r="BW12" s="320">
        <v>19029.767415400001</v>
      </c>
      <c r="BX12" s="321">
        <v>89</v>
      </c>
      <c r="BY12" s="259">
        <v>42173</v>
      </c>
      <c r="BZ12" s="68">
        <v>152913.95000000001</v>
      </c>
      <c r="CA12" s="233">
        <v>42173</v>
      </c>
      <c r="CB12" s="237">
        <v>89</v>
      </c>
      <c r="CC12" s="68"/>
      <c r="CD12" s="61"/>
      <c r="CE12" s="61"/>
      <c r="CF12" s="61"/>
      <c r="CG12" s="61"/>
      <c r="CH12" s="144"/>
      <c r="CI12" s="103"/>
      <c r="CJ12" s="315" t="s">
        <v>652</v>
      </c>
      <c r="CK12" s="308">
        <v>23865.904200000001</v>
      </c>
      <c r="CL12" s="297">
        <v>54</v>
      </c>
      <c r="CO12" s="287"/>
    </row>
    <row r="13" spans="2:93" ht="15.75" thickBot="1" x14ac:dyDescent="0.3">
      <c r="B13" s="340" t="s">
        <v>152</v>
      </c>
      <c r="C13" s="118">
        <v>4914.82</v>
      </c>
      <c r="D13" s="333">
        <v>2.6121473808713132E-3</v>
      </c>
      <c r="E13" s="63">
        <v>903</v>
      </c>
      <c r="F13" s="334">
        <v>3.5973229224762968E-2</v>
      </c>
      <c r="G13" s="74" t="s">
        <v>152</v>
      </c>
      <c r="H13" s="64">
        <v>20</v>
      </c>
      <c r="I13" s="64">
        <v>14</v>
      </c>
      <c r="J13" s="75">
        <f t="shared" si="2"/>
        <v>4914.82</v>
      </c>
      <c r="K13" s="110" t="str">
        <f t="shared" si="7"/>
        <v/>
      </c>
      <c r="L13" s="110">
        <f t="shared" si="8"/>
        <v>4914.82</v>
      </c>
      <c r="M13" s="76">
        <f t="shared" si="3"/>
        <v>903</v>
      </c>
      <c r="N13" s="77">
        <f t="shared" si="4"/>
        <v>3.5973229224762968E-2</v>
      </c>
      <c r="O13" s="63"/>
      <c r="P13" s="63"/>
      <c r="Q13" s="63"/>
      <c r="R13" s="65"/>
      <c r="S13" s="119"/>
      <c r="U13" s="222" t="s">
        <v>374</v>
      </c>
      <c r="V13" s="360">
        <v>68946.66</v>
      </c>
      <c r="W13" s="353">
        <v>55236.23550000001</v>
      </c>
      <c r="X13" s="353">
        <v>175.31</v>
      </c>
      <c r="Y13" s="355">
        <v>11677.363099999999</v>
      </c>
      <c r="Z13" s="78"/>
      <c r="AA13" s="158" t="str">
        <f t="shared" si="0"/>
        <v>District of Columbia</v>
      </c>
      <c r="AB13" s="168">
        <v>68946.66</v>
      </c>
      <c r="AC13" s="144">
        <f t="shared" si="5"/>
        <v>1</v>
      </c>
      <c r="AD13" s="378" t="s">
        <v>34</v>
      </c>
      <c r="AE13" s="385" t="s">
        <v>29</v>
      </c>
      <c r="AF13" s="364">
        <v>90867.02654625001</v>
      </c>
      <c r="AG13" s="365">
        <v>2585.48</v>
      </c>
      <c r="AH13" s="365">
        <v>4.1999999999999993</v>
      </c>
      <c r="AI13" s="365">
        <v>-1862.118946250001</v>
      </c>
      <c r="AJ13" s="367">
        <v>97290.37</v>
      </c>
      <c r="AK13" s="73"/>
      <c r="AL13" s="222"/>
      <c r="AM13" s="392">
        <v>42011</v>
      </c>
      <c r="AN13" s="348">
        <v>16551.82</v>
      </c>
      <c r="AO13" s="146">
        <v>-3779.0007400000004</v>
      </c>
      <c r="AP13" s="147">
        <v>68</v>
      </c>
      <c r="AQ13" s="59">
        <v>42011</v>
      </c>
      <c r="AR13" s="180">
        <v>16551.82</v>
      </c>
      <c r="AS13" s="61">
        <f t="shared" si="11"/>
        <v>1</v>
      </c>
      <c r="AT13" s="185">
        <f t="shared" si="12"/>
        <v>2</v>
      </c>
      <c r="AU13" s="143" t="s">
        <v>3063</v>
      </c>
      <c r="AV13" s="68" t="s">
        <v>3064</v>
      </c>
      <c r="AW13" s="68"/>
      <c r="AX13" s="68"/>
      <c r="AY13" s="144"/>
      <c r="AZ13" s="68"/>
      <c r="BB13" s="222"/>
      <c r="BC13" s="257" t="s">
        <v>38</v>
      </c>
      <c r="BD13" s="258">
        <v>94490.75</v>
      </c>
      <c r="BE13" s="320">
        <v>13780.421678999997</v>
      </c>
      <c r="BF13" s="321">
        <v>90</v>
      </c>
      <c r="BG13" s="259">
        <v>42177</v>
      </c>
      <c r="BH13" s="68">
        <v>13780.421678999997</v>
      </c>
      <c r="BI13" s="233">
        <v>42177</v>
      </c>
      <c r="BJ13" s="61">
        <v>90</v>
      </c>
      <c r="BK13" s="78"/>
      <c r="BL13" s="68"/>
      <c r="BM13" s="68"/>
      <c r="BN13" s="68"/>
      <c r="BO13" s="68"/>
      <c r="BP13" s="68"/>
      <c r="BQ13" s="68"/>
      <c r="BR13" s="144"/>
      <c r="BS13" s="68"/>
      <c r="BT13" s="222"/>
      <c r="BU13" s="268" t="s">
        <v>28</v>
      </c>
      <c r="BV13" s="258">
        <v>59390.35</v>
      </c>
      <c r="BW13" s="320">
        <v>13231.464498750001</v>
      </c>
      <c r="BX13" s="321">
        <v>47</v>
      </c>
      <c r="BY13" s="259">
        <v>42183</v>
      </c>
      <c r="BZ13" s="68">
        <v>59390.35</v>
      </c>
      <c r="CA13" s="233">
        <v>42183</v>
      </c>
      <c r="CB13" s="237">
        <v>47</v>
      </c>
      <c r="CC13" s="68"/>
      <c r="CD13" s="68"/>
      <c r="CE13" s="68"/>
      <c r="CF13" s="68"/>
      <c r="CG13" s="68"/>
      <c r="CH13" s="144"/>
      <c r="CI13" s="103"/>
      <c r="CJ13" s="316" t="s">
        <v>2296</v>
      </c>
      <c r="CK13" s="309">
        <v>18628.1453</v>
      </c>
      <c r="CL13" s="296">
        <v>96</v>
      </c>
      <c r="CO13" s="287"/>
    </row>
    <row r="14" spans="2:93" ht="15.75" thickBot="1" x14ac:dyDescent="0.3">
      <c r="B14" s="340" t="s">
        <v>126</v>
      </c>
      <c r="C14" s="118">
        <v>98070.91</v>
      </c>
      <c r="D14" s="333">
        <v>5.2123103327520903E-2</v>
      </c>
      <c r="E14" s="63">
        <v>2356</v>
      </c>
      <c r="F14" s="334">
        <v>9.3857063182216552E-2</v>
      </c>
      <c r="G14" s="74" t="s">
        <v>126</v>
      </c>
      <c r="H14" s="64">
        <v>20</v>
      </c>
      <c r="I14" s="64">
        <v>18</v>
      </c>
      <c r="J14" s="75">
        <f t="shared" si="2"/>
        <v>98070.91</v>
      </c>
      <c r="K14" s="110" t="str">
        <f t="shared" si="7"/>
        <v/>
      </c>
      <c r="L14" s="110">
        <f t="shared" si="8"/>
        <v>98070.91</v>
      </c>
      <c r="M14" s="76">
        <f t="shared" si="3"/>
        <v>2356</v>
      </c>
      <c r="N14" s="77">
        <f t="shared" si="4"/>
        <v>9.3857063182216552E-2</v>
      </c>
      <c r="O14" s="63"/>
      <c r="P14" s="63"/>
      <c r="Q14" s="63"/>
      <c r="R14" s="65"/>
      <c r="S14" s="119"/>
      <c r="U14" s="222" t="s">
        <v>123</v>
      </c>
      <c r="V14" s="360">
        <v>81205.22</v>
      </c>
      <c r="W14" s="353">
        <v>75078.699560000023</v>
      </c>
      <c r="X14" s="353">
        <v>1311.93</v>
      </c>
      <c r="Y14" s="355">
        <v>322.07384000000013</v>
      </c>
      <c r="Z14" s="78"/>
      <c r="AA14" s="158" t="str">
        <f t="shared" si="0"/>
        <v>Florida</v>
      </c>
      <c r="AB14" s="168">
        <v>81205.22</v>
      </c>
      <c r="AC14" s="144">
        <f t="shared" si="5"/>
        <v>1</v>
      </c>
      <c r="AD14" s="383" t="s">
        <v>34</v>
      </c>
      <c r="AE14" s="386" t="s">
        <v>49</v>
      </c>
      <c r="AF14" s="382">
        <v>108121.61715319999</v>
      </c>
      <c r="AG14" s="146">
        <v>1897.34</v>
      </c>
      <c r="AH14" s="146">
        <v>11.74999999999998</v>
      </c>
      <c r="AI14" s="146">
        <v>-2119.4586532000021</v>
      </c>
      <c r="AJ14" s="147">
        <v>112566.34</v>
      </c>
      <c r="AK14" s="73"/>
      <c r="AL14" s="222"/>
      <c r="AM14" s="392">
        <v>42012</v>
      </c>
      <c r="AN14" s="348">
        <v>5388.84</v>
      </c>
      <c r="AO14" s="146">
        <v>3447.4977999999996</v>
      </c>
      <c r="AP14" s="147">
        <v>24</v>
      </c>
      <c r="AQ14" s="59">
        <v>42012</v>
      </c>
      <c r="AR14" s="180">
        <v>5388.84</v>
      </c>
      <c r="AS14" s="61">
        <f t="shared" si="11"/>
        <v>1</v>
      </c>
      <c r="AT14" s="185">
        <f t="shared" si="12"/>
        <v>2</v>
      </c>
      <c r="AU14" s="143" t="s">
        <v>3061</v>
      </c>
      <c r="AV14" s="68" t="s">
        <v>3062</v>
      </c>
      <c r="AW14" s="68" t="s">
        <v>3061</v>
      </c>
      <c r="AX14" s="68" t="s">
        <v>3062</v>
      </c>
      <c r="AY14" s="144"/>
      <c r="AZ14" s="68"/>
      <c r="BB14" s="222"/>
      <c r="BC14" s="257" t="s">
        <v>26</v>
      </c>
      <c r="BD14" s="258">
        <v>124332.78</v>
      </c>
      <c r="BE14" s="320">
        <v>-3620.6440049999942</v>
      </c>
      <c r="BF14" s="321">
        <v>105</v>
      </c>
      <c r="BG14" s="259">
        <v>42183</v>
      </c>
      <c r="BH14" s="68">
        <v>-3620.6440049999942</v>
      </c>
      <c r="BI14" s="233">
        <v>42183</v>
      </c>
      <c r="BJ14" s="61">
        <v>105</v>
      </c>
      <c r="BK14" s="78"/>
      <c r="BL14" s="68"/>
      <c r="BM14" s="68"/>
      <c r="BN14" s="68"/>
      <c r="BO14" s="68"/>
      <c r="BP14" s="68"/>
      <c r="BQ14" s="68"/>
      <c r="BR14" s="144"/>
      <c r="BS14" s="68"/>
      <c r="BT14" s="225" t="s">
        <v>38</v>
      </c>
      <c r="BU14" s="221" t="s">
        <v>71</v>
      </c>
      <c r="BV14" s="261">
        <v>92705.25</v>
      </c>
      <c r="BW14" s="262">
        <v>12910.396491999998</v>
      </c>
      <c r="BX14" s="322">
        <v>62</v>
      </c>
      <c r="BY14" s="263">
        <v>42184</v>
      </c>
      <c r="BZ14" s="68">
        <v>92705.25</v>
      </c>
      <c r="CA14" s="233">
        <v>42184</v>
      </c>
      <c r="CB14" s="237">
        <v>62</v>
      </c>
      <c r="CC14" s="68"/>
      <c r="CD14" s="68"/>
      <c r="CE14" s="68"/>
      <c r="CF14" s="68"/>
      <c r="CG14" s="68"/>
      <c r="CH14" s="144"/>
      <c r="CI14" s="103"/>
      <c r="CJ14" s="317" t="s">
        <v>59</v>
      </c>
      <c r="CK14" s="310">
        <v>3700.3742000000002</v>
      </c>
      <c r="CL14" s="412">
        <v>35</v>
      </c>
      <c r="CM14" s="290"/>
      <c r="CN14" s="291"/>
      <c r="CO14" s="292"/>
    </row>
    <row r="15" spans="2:93" ht="15.75" thickBot="1" x14ac:dyDescent="0.3">
      <c r="B15" s="340" t="s">
        <v>57</v>
      </c>
      <c r="C15" s="118">
        <v>318169.68</v>
      </c>
      <c r="D15" s="333">
        <v>0.16910204163828255</v>
      </c>
      <c r="E15" s="63">
        <v>898</v>
      </c>
      <c r="F15" s="334">
        <v>3.5774041909011234E-2</v>
      </c>
      <c r="G15" s="74" t="s">
        <v>57</v>
      </c>
      <c r="H15" s="64">
        <v>16</v>
      </c>
      <c r="I15" s="64">
        <v>21</v>
      </c>
      <c r="J15" s="75">
        <f t="shared" si="2"/>
        <v>318169.68</v>
      </c>
      <c r="K15" s="110">
        <f t="shared" si="7"/>
        <v>318169.68</v>
      </c>
      <c r="L15" s="110" t="str">
        <f t="shared" si="8"/>
        <v/>
      </c>
      <c r="M15" s="76">
        <f t="shared" si="3"/>
        <v>898</v>
      </c>
      <c r="N15" s="77">
        <f t="shared" si="4"/>
        <v>3.5774041909011234E-2</v>
      </c>
      <c r="O15" s="63"/>
      <c r="P15" s="63"/>
      <c r="Q15" s="63"/>
      <c r="R15" s="65"/>
      <c r="S15" s="119"/>
      <c r="U15" s="222" t="s">
        <v>75</v>
      </c>
      <c r="V15" s="360">
        <v>29050.79</v>
      </c>
      <c r="W15" s="353">
        <v>18543.240586250002</v>
      </c>
      <c r="X15" s="353">
        <v>537.77</v>
      </c>
      <c r="Y15" s="355">
        <v>8645.2074137499967</v>
      </c>
      <c r="Z15" s="78"/>
      <c r="AA15" s="158" t="str">
        <f t="shared" si="0"/>
        <v>Georgia</v>
      </c>
      <c r="AB15" s="168">
        <v>29050.79</v>
      </c>
      <c r="AC15" s="144">
        <f t="shared" si="5"/>
        <v>1</v>
      </c>
      <c r="AD15" s="383" t="s">
        <v>34</v>
      </c>
      <c r="AE15" s="387" t="s">
        <v>41</v>
      </c>
      <c r="AF15" s="382">
        <v>137240.41917999997</v>
      </c>
      <c r="AG15" s="146">
        <v>957.5</v>
      </c>
      <c r="AH15" s="146">
        <v>5.6299999999999937</v>
      </c>
      <c r="AI15" s="146">
        <v>-13449.778180000001</v>
      </c>
      <c r="AJ15" s="147">
        <v>131471.60999999999</v>
      </c>
      <c r="AK15" s="73"/>
      <c r="AL15" s="222"/>
      <c r="AM15" s="392">
        <v>42013</v>
      </c>
      <c r="AN15" s="348">
        <v>13926.83</v>
      </c>
      <c r="AO15" s="146">
        <v>-176.99525999999997</v>
      </c>
      <c r="AP15" s="147">
        <v>147</v>
      </c>
      <c r="AQ15" s="59">
        <v>42013</v>
      </c>
      <c r="AR15" s="180">
        <v>13926.83</v>
      </c>
      <c r="AS15" s="61">
        <f t="shared" si="11"/>
        <v>1</v>
      </c>
      <c r="AT15" s="185">
        <f t="shared" si="12"/>
        <v>2</v>
      </c>
      <c r="AU15" s="196">
        <f>LARGE($AR$7:$AR$185,ROWS(A$2:A2))</f>
        <v>67267.77</v>
      </c>
      <c r="AV15" s="197" cm="1">
        <f t="array" ref="AV15">INDEX($AQ$7:$AQ$185,MATCH(TRUE,INDEX(_xlfn.ANCHORARRAY($AR$7)=AU15,0),0))</f>
        <v>42098</v>
      </c>
      <c r="AW15" s="186">
        <f>LARGE($AY$27:$AY$43,ROWS(C$2:C2))</f>
        <v>318169.68</v>
      </c>
      <c r="AX15" s="68" t="str" cm="1">
        <f t="array" ref="AX15">INDEX($AU$27:$AU$43,MATCH(TRUE,INDEX($AY$27:$AY$43=AW15,0),0))</f>
        <v>Office Machines</v>
      </c>
      <c r="AY15" s="144"/>
      <c r="AZ15" s="68"/>
      <c r="BB15" s="222"/>
      <c r="BC15" s="260" t="s">
        <v>3094</v>
      </c>
      <c r="BD15" s="258">
        <v>147995.46</v>
      </c>
      <c r="BE15" s="320">
        <v>8400.3930129999972</v>
      </c>
      <c r="BF15" s="321">
        <v>97</v>
      </c>
      <c r="BG15" s="259">
        <v>42182</v>
      </c>
      <c r="BH15" s="68">
        <v>8400.3930129999972</v>
      </c>
      <c r="BI15" s="233">
        <v>42182</v>
      </c>
      <c r="BJ15" s="61">
        <v>97</v>
      </c>
      <c r="BK15" s="78"/>
      <c r="BL15" s="68"/>
      <c r="BM15" s="246"/>
      <c r="BN15" s="68"/>
      <c r="BO15" s="68"/>
      <c r="BP15" s="68"/>
      <c r="BQ15" s="68"/>
      <c r="BR15" s="144"/>
      <c r="BS15" s="68"/>
      <c r="BT15" s="222"/>
      <c r="BU15" s="267" t="s">
        <v>40</v>
      </c>
      <c r="BV15" s="258">
        <v>73873.66</v>
      </c>
      <c r="BW15" s="320">
        <v>957.54042259999983</v>
      </c>
      <c r="BX15" s="321">
        <v>64</v>
      </c>
      <c r="BY15" s="259">
        <v>42185</v>
      </c>
      <c r="BZ15" s="68">
        <v>73873.66</v>
      </c>
      <c r="CA15" s="233">
        <v>42185</v>
      </c>
      <c r="CB15" s="237">
        <v>64</v>
      </c>
      <c r="CC15" s="68"/>
      <c r="CD15" s="68"/>
      <c r="CE15" s="68"/>
      <c r="CF15" s="68"/>
      <c r="CG15" s="68"/>
      <c r="CH15" s="144"/>
    </row>
    <row r="16" spans="2:93" ht="15.75" thickBot="1" x14ac:dyDescent="0.3">
      <c r="B16" s="340" t="s">
        <v>88</v>
      </c>
      <c r="C16" s="118">
        <v>55813.919999999998</v>
      </c>
      <c r="D16" s="333">
        <v>2.9664196235907114E-2</v>
      </c>
      <c r="E16" s="63">
        <v>3481</v>
      </c>
      <c r="F16" s="334">
        <v>0.13867420922635645</v>
      </c>
      <c r="G16" s="74" t="s">
        <v>88</v>
      </c>
      <c r="H16" s="64">
        <v>11</v>
      </c>
      <c r="I16" s="64">
        <v>19</v>
      </c>
      <c r="J16" s="75">
        <f t="shared" si="2"/>
        <v>55813.919999999998</v>
      </c>
      <c r="K16" s="110" t="str">
        <f t="shared" si="7"/>
        <v/>
      </c>
      <c r="L16" s="110">
        <f t="shared" si="8"/>
        <v>55813.919999999998</v>
      </c>
      <c r="M16" s="76">
        <f t="shared" si="3"/>
        <v>3481</v>
      </c>
      <c r="N16" s="77">
        <f t="shared" si="4"/>
        <v>0.13867420922635645</v>
      </c>
      <c r="O16" s="63"/>
      <c r="P16" s="63"/>
      <c r="Q16" s="63"/>
      <c r="R16" s="65"/>
      <c r="S16" s="119"/>
      <c r="U16" s="222" t="s">
        <v>490</v>
      </c>
      <c r="V16" s="360">
        <v>13922.92</v>
      </c>
      <c r="W16" s="353">
        <v>6171.6153999999988</v>
      </c>
      <c r="X16" s="353">
        <v>257.19</v>
      </c>
      <c r="Y16" s="355">
        <v>6848.3532999999989</v>
      </c>
      <c r="Z16" s="78"/>
      <c r="AA16" s="158" t="str">
        <f t="shared" si="0"/>
        <v>Idaho</v>
      </c>
      <c r="AB16" s="168">
        <v>13922.92</v>
      </c>
      <c r="AC16" s="144">
        <f t="shared" si="5"/>
        <v>1</v>
      </c>
      <c r="AD16" s="378" t="s">
        <v>60</v>
      </c>
      <c r="AE16" s="385" t="s">
        <v>29</v>
      </c>
      <c r="AF16" s="364">
        <v>127078.66102000001</v>
      </c>
      <c r="AG16" s="365">
        <v>2702.04</v>
      </c>
      <c r="AH16" s="365">
        <v>4.2399999999999984</v>
      </c>
      <c r="AI16" s="365">
        <v>45999.542280000001</v>
      </c>
      <c r="AJ16" s="367">
        <v>184155.86</v>
      </c>
      <c r="AK16" s="73"/>
      <c r="AL16" s="222"/>
      <c r="AM16" s="392">
        <v>42014</v>
      </c>
      <c r="AN16" s="348">
        <v>11520.37</v>
      </c>
      <c r="AO16" s="146">
        <v>-1623.0806999999998</v>
      </c>
      <c r="AP16" s="147">
        <v>130</v>
      </c>
      <c r="AQ16" s="59">
        <v>42014</v>
      </c>
      <c r="AR16" s="180">
        <v>11520.37</v>
      </c>
      <c r="AS16" s="61">
        <f t="shared" si="11"/>
        <v>1</v>
      </c>
      <c r="AT16" s="185">
        <f t="shared" si="12"/>
        <v>2</v>
      </c>
      <c r="AU16" s="196">
        <f>LARGE($AR$7:$AR$185,ROWS(A$2:A3))</f>
        <v>56764.54</v>
      </c>
      <c r="AV16" s="197" cm="1">
        <f t="array" ref="AV16">INDEX($AQ$7:$AQ$185,MATCH(TRUE,INDEX(_xlfn.ANCHORARRAY($AR$7)=AU16,0),0))</f>
        <v>42056</v>
      </c>
      <c r="AW16" s="186">
        <f>LARGE($AY$27:$AY$43,ROWS(C$2:C3))</f>
        <v>241200.42</v>
      </c>
      <c r="AX16" s="68" t="str" cm="1">
        <f t="array" ref="AX16">INDEX($AU$27:$AU$43,MATCH(TRUE,INDEX($AY$27:$AY$43=AW16,0),0))</f>
        <v>Chairs &amp; Chairmats</v>
      </c>
      <c r="AY16" s="144"/>
      <c r="AZ16" s="68"/>
      <c r="BB16" s="225" t="s">
        <v>71</v>
      </c>
      <c r="BC16" s="253" t="s">
        <v>48</v>
      </c>
      <c r="BD16" s="261">
        <v>89371.54</v>
      </c>
      <c r="BE16" s="262">
        <v>8362.1729999999989</v>
      </c>
      <c r="BF16" s="322">
        <v>68</v>
      </c>
      <c r="BG16" s="263">
        <v>42183</v>
      </c>
      <c r="BH16" s="68">
        <v>8362.1729999999989</v>
      </c>
      <c r="BI16" s="233">
        <v>42183</v>
      </c>
      <c r="BJ16" s="61">
        <v>68</v>
      </c>
      <c r="BK16" s="78"/>
      <c r="BL16" s="68"/>
      <c r="BM16" s="246"/>
      <c r="BN16" s="68"/>
      <c r="BO16" s="68"/>
      <c r="BP16" s="68"/>
      <c r="BQ16" s="68"/>
      <c r="BR16" s="144"/>
      <c r="BS16" s="68"/>
      <c r="BT16" s="222"/>
      <c r="BU16" s="267" t="s">
        <v>94</v>
      </c>
      <c r="BV16" s="258">
        <v>94490.75</v>
      </c>
      <c r="BW16" s="320">
        <v>13780.421678999997</v>
      </c>
      <c r="BX16" s="321">
        <v>90</v>
      </c>
      <c r="BY16" s="259">
        <v>42177</v>
      </c>
      <c r="BZ16" s="68">
        <v>94490.75</v>
      </c>
      <c r="CA16" s="233">
        <v>42177</v>
      </c>
      <c r="CB16" s="237">
        <v>90</v>
      </c>
      <c r="CC16" s="68"/>
      <c r="CD16" s="68"/>
      <c r="CE16" s="68"/>
      <c r="CF16" s="68"/>
      <c r="CG16" s="68"/>
      <c r="CH16" s="144"/>
      <c r="CI16" s="103"/>
      <c r="CJ16" s="276" t="s">
        <v>3109</v>
      </c>
      <c r="CK16" s="293"/>
      <c r="CL16" s="297"/>
      <c r="CM16" s="278" t="s">
        <v>3053</v>
      </c>
      <c r="CN16" s="279" t="str">
        <f>CHOOSE(Distribution!AH7,"Sales", "Profit")</f>
        <v>Profit</v>
      </c>
      <c r="CO16" s="280"/>
    </row>
    <row r="17" spans="2:93" ht="15.75" thickBot="1" x14ac:dyDescent="0.3">
      <c r="B17" s="340" t="s">
        <v>50</v>
      </c>
      <c r="C17" s="118">
        <v>26071.61</v>
      </c>
      <c r="D17" s="333">
        <v>1.385663926178341E-2</v>
      </c>
      <c r="E17" s="63">
        <v>2744</v>
      </c>
      <c r="F17" s="334">
        <v>0.10931399888455103</v>
      </c>
      <c r="G17" s="74" t="s">
        <v>50</v>
      </c>
      <c r="H17" s="64">
        <v>8</v>
      </c>
      <c r="I17" s="64">
        <v>17</v>
      </c>
      <c r="J17" s="75">
        <f t="shared" si="2"/>
        <v>26071.61</v>
      </c>
      <c r="K17" s="110" t="str">
        <f t="shared" si="7"/>
        <v/>
      </c>
      <c r="L17" s="110">
        <f t="shared" si="8"/>
        <v>26071.61</v>
      </c>
      <c r="M17" s="76">
        <f t="shared" si="3"/>
        <v>2744</v>
      </c>
      <c r="N17" s="77">
        <f t="shared" si="4"/>
        <v>0.10931399888455103</v>
      </c>
      <c r="O17" s="63"/>
      <c r="P17" s="63"/>
      <c r="Q17" s="63"/>
      <c r="R17" s="65"/>
      <c r="S17" s="119"/>
      <c r="U17" s="222" t="s">
        <v>103</v>
      </c>
      <c r="V17" s="360">
        <v>98971.25</v>
      </c>
      <c r="W17" s="353">
        <v>81006.836988000025</v>
      </c>
      <c r="X17" s="353">
        <v>911.81</v>
      </c>
      <c r="Y17" s="355">
        <v>12321.579311999994</v>
      </c>
      <c r="Z17" s="78"/>
      <c r="AA17" s="158" t="str">
        <f t="shared" si="0"/>
        <v>Illinois</v>
      </c>
      <c r="AB17" s="168">
        <v>98971.25</v>
      </c>
      <c r="AC17" s="144">
        <f>IF(AB17=0,0,1)</f>
        <v>1</v>
      </c>
      <c r="AD17" s="383" t="s">
        <v>60</v>
      </c>
      <c r="AE17" s="386" t="s">
        <v>49</v>
      </c>
      <c r="AF17" s="382">
        <v>91882.323870000007</v>
      </c>
      <c r="AG17" s="146">
        <v>1813.46</v>
      </c>
      <c r="AH17" s="146">
        <v>12.259999999999987</v>
      </c>
      <c r="AI17" s="146">
        <v>12136.81913</v>
      </c>
      <c r="AJ17" s="147">
        <v>111003.26</v>
      </c>
      <c r="AK17" s="73"/>
      <c r="AL17" s="222"/>
      <c r="AM17" s="392">
        <v>42015</v>
      </c>
      <c r="AN17" s="348">
        <v>3355.12</v>
      </c>
      <c r="AO17" s="146">
        <v>-137.49189999999996</v>
      </c>
      <c r="AP17" s="147">
        <v>43</v>
      </c>
      <c r="AQ17" s="59">
        <v>42015</v>
      </c>
      <c r="AR17" s="180">
        <v>3355.12</v>
      </c>
      <c r="AS17" s="61">
        <f t="shared" si="11"/>
        <v>1</v>
      </c>
      <c r="AT17" s="185">
        <f t="shared" si="12"/>
        <v>3</v>
      </c>
      <c r="AU17" s="196">
        <f>LARGE($AR$7:$AR$185,ROWS(A$2:A4))</f>
        <v>49028.22</v>
      </c>
      <c r="AV17" s="197" cm="1">
        <f t="array" ref="AV17">INDEX($AQ$7:$AQ$185,MATCH(TRUE,INDEX(_xlfn.ANCHORARRAY($AR$7)=AU17,0),0))</f>
        <v>42175</v>
      </c>
      <c r="AW17" s="186">
        <f>LARGE($AY$27:$AY$43,ROWS(C$2:C4))</f>
        <v>198764.49</v>
      </c>
      <c r="AX17" s="68" t="str" cm="1">
        <f t="array" ref="AX17">INDEX($AU$27:$AU$43,MATCH(TRUE,INDEX($AY$27:$AY$43=AW17,0),0))</f>
        <v>Telephones and Communication</v>
      </c>
      <c r="AY17" s="144"/>
      <c r="AZ17" s="68"/>
      <c r="BB17" s="222"/>
      <c r="BC17" s="257" t="s">
        <v>116</v>
      </c>
      <c r="BD17" s="258">
        <v>92000.75</v>
      </c>
      <c r="BE17" s="320">
        <v>4680.4503269200004</v>
      </c>
      <c r="BF17" s="321">
        <v>73</v>
      </c>
      <c r="BG17" s="259">
        <v>42172</v>
      </c>
      <c r="BH17" s="68">
        <v>4680.4503269200004</v>
      </c>
      <c r="BI17" s="233">
        <v>42172</v>
      </c>
      <c r="BJ17" s="61">
        <v>73</v>
      </c>
      <c r="BK17" s="78"/>
      <c r="BL17" s="68"/>
      <c r="BM17" s="246"/>
      <c r="BN17" s="68"/>
      <c r="BO17" s="68"/>
      <c r="BP17" s="68"/>
      <c r="BQ17" s="68"/>
      <c r="BR17" s="144"/>
      <c r="BS17" s="68"/>
      <c r="BT17" s="222"/>
      <c r="BU17" s="268" t="s">
        <v>28</v>
      </c>
      <c r="BV17" s="258">
        <v>38272.589999999997</v>
      </c>
      <c r="BW17" s="320">
        <v>8144.6507180000026</v>
      </c>
      <c r="BX17" s="321">
        <v>52</v>
      </c>
      <c r="BY17" s="259">
        <v>42183</v>
      </c>
      <c r="BZ17" s="68">
        <v>38272.589999999997</v>
      </c>
      <c r="CA17" s="233">
        <v>42183</v>
      </c>
      <c r="CB17" s="237">
        <v>52</v>
      </c>
      <c r="CC17" s="68"/>
      <c r="CD17" s="68"/>
      <c r="CE17" s="68"/>
      <c r="CF17" s="68"/>
      <c r="CG17" s="68"/>
      <c r="CH17" s="144"/>
      <c r="CI17" s="103"/>
      <c r="CJ17" s="314" t="s">
        <v>11</v>
      </c>
      <c r="CK17" s="312" t="s">
        <v>22</v>
      </c>
      <c r="CL17" s="318" t="s">
        <v>3016</v>
      </c>
      <c r="CM17" s="274" t="s">
        <v>11</v>
      </c>
      <c r="CN17" s="275" t="str">
        <f>CN16</f>
        <v>Profit</v>
      </c>
      <c r="CO17" s="282" t="s">
        <v>3016</v>
      </c>
    </row>
    <row r="18" spans="2:93" ht="15.75" thickBot="1" x14ac:dyDescent="0.3">
      <c r="B18" s="340" t="s">
        <v>176</v>
      </c>
      <c r="C18" s="118">
        <v>1789.43</v>
      </c>
      <c r="D18" s="333">
        <v>9.5105311847688302E-4</v>
      </c>
      <c r="E18" s="63">
        <v>501</v>
      </c>
      <c r="F18" s="334">
        <v>1.9958569038323638E-2</v>
      </c>
      <c r="G18" s="74" t="s">
        <v>176</v>
      </c>
      <c r="H18" s="64">
        <v>4</v>
      </c>
      <c r="I18" s="64">
        <v>19</v>
      </c>
      <c r="J18" s="75">
        <f t="shared" si="2"/>
        <v>1789.43</v>
      </c>
      <c r="K18" s="110" t="str">
        <f t="shared" si="7"/>
        <v/>
      </c>
      <c r="L18" s="110">
        <f t="shared" si="8"/>
        <v>1789.43</v>
      </c>
      <c r="M18" s="76">
        <f t="shared" si="3"/>
        <v>501</v>
      </c>
      <c r="N18" s="77">
        <f t="shared" si="4"/>
        <v>1.9958569038323638E-2</v>
      </c>
      <c r="O18" s="63"/>
      <c r="P18" s="63"/>
      <c r="Q18" s="63"/>
      <c r="R18" s="65"/>
      <c r="S18" s="119"/>
      <c r="U18" s="222" t="s">
        <v>54</v>
      </c>
      <c r="V18" s="360">
        <v>39314.550000000003</v>
      </c>
      <c r="W18" s="353">
        <v>38266.167805000005</v>
      </c>
      <c r="X18" s="353">
        <v>684.15</v>
      </c>
      <c r="Y18" s="355">
        <v>-976.94950500000107</v>
      </c>
      <c r="Z18" s="78"/>
      <c r="AA18" s="158" t="str">
        <f t="shared" si="0"/>
        <v>Indiana</v>
      </c>
      <c r="AB18" s="168">
        <v>39314.550000000003</v>
      </c>
      <c r="AC18" s="144">
        <f t="shared" ref="AC18:AC54" si="16">IF(AB18=0,0,1)</f>
        <v>1</v>
      </c>
      <c r="AD18" s="384" t="s">
        <v>60</v>
      </c>
      <c r="AE18" s="387" t="s">
        <v>41</v>
      </c>
      <c r="AF18" s="382">
        <v>195112.64050799998</v>
      </c>
      <c r="AG18" s="146">
        <v>1325.44</v>
      </c>
      <c r="AH18" s="146">
        <v>5.7099999999999937</v>
      </c>
      <c r="AI18" s="146">
        <v>10095.172992000003</v>
      </c>
      <c r="AJ18" s="147">
        <v>218867.52</v>
      </c>
      <c r="AK18" s="73"/>
      <c r="AL18" s="222"/>
      <c r="AM18" s="392">
        <v>42016</v>
      </c>
      <c r="AN18" s="348">
        <v>14882.67</v>
      </c>
      <c r="AO18" s="146">
        <v>5081.0147000000015</v>
      </c>
      <c r="AP18" s="147">
        <v>220</v>
      </c>
      <c r="AQ18" s="59">
        <v>42016</v>
      </c>
      <c r="AR18" s="180">
        <v>14882.67</v>
      </c>
      <c r="AS18" s="61">
        <f t="shared" si="11"/>
        <v>1</v>
      </c>
      <c r="AT18" s="185">
        <f t="shared" si="12"/>
        <v>3</v>
      </c>
      <c r="AU18" s="198"/>
      <c r="AV18" s="67"/>
      <c r="AW18" s="180"/>
      <c r="AX18" s="68"/>
      <c r="AY18" s="144"/>
      <c r="AZ18" s="68"/>
      <c r="BB18" s="222"/>
      <c r="BC18" s="257" t="s">
        <v>38</v>
      </c>
      <c r="BD18" s="258">
        <v>92705.25</v>
      </c>
      <c r="BE18" s="320">
        <v>12910.396491999998</v>
      </c>
      <c r="BF18" s="321">
        <v>62</v>
      </c>
      <c r="BG18" s="259">
        <v>42184</v>
      </c>
      <c r="BH18" s="68">
        <v>12910.396491999998</v>
      </c>
      <c r="BI18" s="233">
        <v>42184</v>
      </c>
      <c r="BJ18" s="61">
        <v>62</v>
      </c>
      <c r="BK18" s="78"/>
      <c r="BL18" s="68"/>
      <c r="BM18" s="246"/>
      <c r="BN18" s="68"/>
      <c r="BO18" s="68"/>
      <c r="BP18" s="68"/>
      <c r="BQ18" s="68"/>
      <c r="BR18" s="144"/>
      <c r="BS18" s="68"/>
      <c r="BT18" s="225" t="s">
        <v>26</v>
      </c>
      <c r="BU18" s="221" t="s">
        <v>71</v>
      </c>
      <c r="BV18" s="261">
        <v>101040.41</v>
      </c>
      <c r="BW18" s="262">
        <v>3012.5318559999973</v>
      </c>
      <c r="BX18" s="322">
        <v>65</v>
      </c>
      <c r="BY18" s="263">
        <v>42183</v>
      </c>
      <c r="BZ18" s="68">
        <v>101040.41</v>
      </c>
      <c r="CA18" s="233">
        <v>42183</v>
      </c>
      <c r="CB18" s="237">
        <v>65</v>
      </c>
      <c r="CC18" s="68"/>
      <c r="CD18" s="68"/>
      <c r="CE18" s="68"/>
      <c r="CF18" s="68"/>
      <c r="CG18" s="68"/>
      <c r="CH18" s="144"/>
      <c r="CI18" s="103"/>
      <c r="CJ18" s="315" t="s">
        <v>2271</v>
      </c>
      <c r="CK18" s="308">
        <v>3.07</v>
      </c>
      <c r="CL18" s="297">
        <v>1</v>
      </c>
      <c r="CM18" s="55" t="str" cm="1">
        <f t="array" ref="CM18">IFERROR(_xlfn.IFS($CN$16="Sales",CJ18,$CN$16="Profit",CJ24),"")</f>
        <v>Polycom ViewStation™ ISDN Videoconferencing Unit</v>
      </c>
      <c r="CN18" s="270" cm="1">
        <f t="array" ref="CN18">IFERROR(_xlfn.IFS($CN$16="Sales",CK18,$CN$16="Profit",CK24),"")</f>
        <v>-27621.245408000002</v>
      </c>
      <c r="CO18" s="287" cm="1">
        <f t="array" ref="CO18">IFERROR(_xlfn.IFS($CN$16="Sales",CL18,$CN$16="Profit",CL24),"")</f>
        <v>7</v>
      </c>
    </row>
    <row r="19" spans="2:93" ht="15.75" thickBot="1" x14ac:dyDescent="0.3">
      <c r="B19" s="340" t="s">
        <v>568</v>
      </c>
      <c r="C19" s="118">
        <v>6752.18</v>
      </c>
      <c r="D19" s="333">
        <v>3.5886745195493762E-3</v>
      </c>
      <c r="E19" s="63">
        <v>423</v>
      </c>
      <c r="F19" s="334">
        <v>1.6851246912596606E-2</v>
      </c>
      <c r="G19" s="74" t="s">
        <v>568</v>
      </c>
      <c r="H19" s="64">
        <v>2</v>
      </c>
      <c r="I19" s="64">
        <v>16</v>
      </c>
      <c r="J19" s="75">
        <f t="shared" si="2"/>
        <v>6752.18</v>
      </c>
      <c r="K19" s="110" t="str">
        <f t="shared" si="7"/>
        <v/>
      </c>
      <c r="L19" s="110">
        <f t="shared" si="8"/>
        <v>6752.18</v>
      </c>
      <c r="M19" s="76">
        <f t="shared" si="3"/>
        <v>423</v>
      </c>
      <c r="N19" s="77">
        <f t="shared" si="4"/>
        <v>1.6851246912596606E-2</v>
      </c>
      <c r="O19" s="63"/>
      <c r="P19" s="63"/>
      <c r="Q19" s="63"/>
      <c r="R19" s="65"/>
      <c r="S19" s="119"/>
      <c r="U19" s="222" t="s">
        <v>213</v>
      </c>
      <c r="V19" s="360">
        <v>10977.69</v>
      </c>
      <c r="W19" s="353">
        <v>8728.3327200000003</v>
      </c>
      <c r="X19" s="353">
        <v>335.81</v>
      </c>
      <c r="Y19" s="355">
        <v>1262.4305799999997</v>
      </c>
      <c r="Z19" s="78"/>
      <c r="AA19" s="158" t="str">
        <f t="shared" si="0"/>
        <v>Iowa</v>
      </c>
      <c r="AB19" s="168">
        <v>10977.69</v>
      </c>
      <c r="AC19" s="144">
        <f t="shared" si="16"/>
        <v>1</v>
      </c>
      <c r="AD19" s="371" t="s">
        <v>3015</v>
      </c>
      <c r="AE19" s="372"/>
      <c r="AF19" s="368">
        <v>1550633.4510628521</v>
      </c>
      <c r="AG19" s="369">
        <v>24748.43</v>
      </c>
      <c r="AH19" s="369">
        <v>94.590000000000302</v>
      </c>
      <c r="AI19" s="369">
        <v>215023.39973715009</v>
      </c>
      <c r="AJ19" s="370">
        <v>1881524.77</v>
      </c>
      <c r="AK19" s="73"/>
      <c r="AL19" s="222"/>
      <c r="AM19" s="392">
        <v>42017</v>
      </c>
      <c r="AN19" s="348">
        <v>1772.04</v>
      </c>
      <c r="AO19" s="146">
        <v>282.39959999999985</v>
      </c>
      <c r="AP19" s="147">
        <v>48</v>
      </c>
      <c r="AQ19" s="59">
        <v>42017</v>
      </c>
      <c r="AR19" s="180">
        <v>1772.04</v>
      </c>
      <c r="AS19" s="61">
        <f t="shared" si="11"/>
        <v>1</v>
      </c>
      <c r="AT19" s="185">
        <f t="shared" si="12"/>
        <v>3</v>
      </c>
      <c r="AU19" s="198" t="s">
        <v>3061</v>
      </c>
      <c r="AV19" s="67" t="s">
        <v>3062</v>
      </c>
      <c r="AW19" s="180" t="s">
        <v>3061</v>
      </c>
      <c r="AX19" s="68" t="s">
        <v>3062</v>
      </c>
      <c r="AY19" s="144"/>
      <c r="AZ19" s="68"/>
      <c r="BB19" s="222"/>
      <c r="BC19" s="257" t="s">
        <v>26</v>
      </c>
      <c r="BD19" s="258">
        <v>101040.41</v>
      </c>
      <c r="BE19" s="320">
        <v>3012.5318559999973</v>
      </c>
      <c r="BF19" s="321">
        <v>65</v>
      </c>
      <c r="BG19" s="259">
        <v>42183</v>
      </c>
      <c r="BH19" s="68">
        <v>3012.5318559999973</v>
      </c>
      <c r="BI19" s="233">
        <v>42183</v>
      </c>
      <c r="BJ19" s="61">
        <v>65</v>
      </c>
      <c r="BK19" s="78"/>
      <c r="BL19" s="68"/>
      <c r="BM19" s="246"/>
      <c r="BN19" s="68"/>
      <c r="BO19" s="68"/>
      <c r="BP19" s="68"/>
      <c r="BQ19" s="68"/>
      <c r="BR19" s="144"/>
      <c r="BS19" s="68"/>
      <c r="BT19" s="222"/>
      <c r="BU19" s="267" t="s">
        <v>40</v>
      </c>
      <c r="BV19" s="258">
        <v>132021.04</v>
      </c>
      <c r="BW19" s="320">
        <v>23965.52246</v>
      </c>
      <c r="BX19" s="321">
        <v>56</v>
      </c>
      <c r="BY19" s="259">
        <v>42177</v>
      </c>
      <c r="BZ19" s="68">
        <v>132021.04</v>
      </c>
      <c r="CA19" s="233">
        <v>42177</v>
      </c>
      <c r="CB19" s="237">
        <v>56</v>
      </c>
      <c r="CC19" s="68"/>
      <c r="CD19" s="68"/>
      <c r="CE19" s="68"/>
      <c r="CF19" s="68"/>
      <c r="CG19" s="68"/>
      <c r="CH19" s="144"/>
      <c r="CI19" s="103"/>
      <c r="CJ19" s="316" t="s">
        <v>311</v>
      </c>
      <c r="CK19" s="309">
        <v>3.53</v>
      </c>
      <c r="CL19" s="296">
        <v>1</v>
      </c>
      <c r="CM19" s="55" t="str" cm="1">
        <f t="array" ref="CM19">IFERROR(_xlfn.IFS($CN$16="Sales",CJ19,$CN$16="Profit",CJ25),"")</f>
        <v>5165</v>
      </c>
      <c r="CN19" s="270" cm="1">
        <f t="array" ref="CN19">IFERROR(_xlfn.IFS($CN$16="Sales",CK19,$CN$16="Profit",CK25),"")</f>
        <v>-12548.946099999999</v>
      </c>
      <c r="CO19" s="287" cm="1">
        <f t="array" ref="CO19">IFERROR(_xlfn.IFS($CN$16="Sales",CL19,$CN$16="Profit",CL25),"")</f>
        <v>51</v>
      </c>
    </row>
    <row r="20" spans="2:93" ht="15.75" thickBot="1" x14ac:dyDescent="0.3">
      <c r="B20" s="340" t="s">
        <v>78</v>
      </c>
      <c r="C20" s="118">
        <v>175730.05</v>
      </c>
      <c r="D20" s="333">
        <v>9.33976808607202E-2</v>
      </c>
      <c r="E20" s="63">
        <v>1889</v>
      </c>
      <c r="F20" s="334">
        <v>7.5252967891004705E-2</v>
      </c>
      <c r="G20" s="74" t="s">
        <v>78</v>
      </c>
      <c r="H20" s="64">
        <v>0</v>
      </c>
      <c r="I20" s="64">
        <v>13</v>
      </c>
      <c r="J20" s="75">
        <f t="shared" si="2"/>
        <v>175730.05</v>
      </c>
      <c r="K20" s="110" t="str">
        <f t="shared" si="7"/>
        <v/>
      </c>
      <c r="L20" s="110">
        <f t="shared" si="8"/>
        <v>175730.05</v>
      </c>
      <c r="M20" s="76">
        <f t="shared" si="3"/>
        <v>1889</v>
      </c>
      <c r="N20" s="77">
        <f t="shared" si="4"/>
        <v>7.5252967891004705E-2</v>
      </c>
      <c r="O20" s="63"/>
      <c r="P20" s="63"/>
      <c r="Q20" s="63"/>
      <c r="R20" s="65"/>
      <c r="S20" s="119"/>
      <c r="U20" s="222" t="s">
        <v>537</v>
      </c>
      <c r="V20" s="360">
        <v>29678.21</v>
      </c>
      <c r="W20" s="353">
        <v>24694.998839999997</v>
      </c>
      <c r="X20" s="353">
        <v>501.11</v>
      </c>
      <c r="Y20" s="355">
        <v>2725.7763599999998</v>
      </c>
      <c r="Z20" s="78"/>
      <c r="AA20" s="158" t="str">
        <f t="shared" si="0"/>
        <v>Kansas</v>
      </c>
      <c r="AB20" s="168">
        <v>29678.21</v>
      </c>
      <c r="AC20" s="144">
        <f t="shared" si="16"/>
        <v>1</v>
      </c>
      <c r="AD20" s="145" t="s">
        <v>3053</v>
      </c>
      <c r="AE20" s="68" t="str">
        <f>CHOOSE('Sales Map'!A37,"Central","East","South","West")</f>
        <v>Central</v>
      </c>
      <c r="AF20" s="68"/>
      <c r="AG20" s="68"/>
      <c r="AH20" s="68"/>
      <c r="AI20" s="68"/>
      <c r="AJ20" s="144"/>
      <c r="AL20" s="222"/>
      <c r="AM20" s="392">
        <v>42018</v>
      </c>
      <c r="AN20" s="348">
        <v>5200.1899999999996</v>
      </c>
      <c r="AO20" s="146">
        <v>1000.9828159999998</v>
      </c>
      <c r="AP20" s="147">
        <v>76</v>
      </c>
      <c r="AQ20" s="59">
        <v>42018</v>
      </c>
      <c r="AR20" s="180">
        <v>5200.1899999999996</v>
      </c>
      <c r="AS20" s="61">
        <f t="shared" si="11"/>
        <v>1</v>
      </c>
      <c r="AT20" s="185">
        <f t="shared" si="12"/>
        <v>3</v>
      </c>
      <c r="AU20" s="196">
        <f>SMALL($AR$7:$AR$185,COUNTIF($AR$7:$AR$185,0)+1)</f>
        <v>101.71</v>
      </c>
      <c r="AV20" s="197" cm="1">
        <f t="array" ref="AV20">INDEX($AQ$7:$AQ$185,MATCH(TRUE,INDEX(_xlfn.ANCHORARRAY($AR$7)=AU20,0),0))</f>
        <v>42094</v>
      </c>
      <c r="AW20" s="186">
        <f>SMALL($AY$27:$AY$43,COUNTIF($AY$27:$AY$63,0)+1)</f>
        <v>1789.43</v>
      </c>
      <c r="AX20" s="68" t="str" cm="1">
        <f t="array" ref="AX20">INDEX($AU$27:$AU$43,MATCH(TRUE,INDEX($AY$27:$AY$43=AW20,0),0))</f>
        <v>Rubber Bands</v>
      </c>
      <c r="AY20" s="144"/>
      <c r="AZ20" s="68"/>
      <c r="BB20" s="222"/>
      <c r="BC20" s="260" t="s">
        <v>3094</v>
      </c>
      <c r="BD20" s="258">
        <v>86227.79</v>
      </c>
      <c r="BE20" s="320">
        <v>22699.893596000005</v>
      </c>
      <c r="BF20" s="321">
        <v>66</v>
      </c>
      <c r="BG20" s="259">
        <v>42185</v>
      </c>
      <c r="BH20" s="68">
        <v>22699.893596000005</v>
      </c>
      <c r="BI20" s="233">
        <v>42185</v>
      </c>
      <c r="BJ20" s="61">
        <v>66</v>
      </c>
      <c r="BK20" s="78"/>
      <c r="BL20" s="68"/>
      <c r="BM20" s="68"/>
      <c r="BN20" s="68"/>
      <c r="BO20" s="68"/>
      <c r="BP20" s="68"/>
      <c r="BQ20" s="68"/>
      <c r="BR20" s="144"/>
      <c r="BS20" s="68"/>
      <c r="BT20" s="222"/>
      <c r="BU20" s="267" t="s">
        <v>94</v>
      </c>
      <c r="BV20" s="258">
        <v>124332.78</v>
      </c>
      <c r="BW20" s="320">
        <v>-3620.6440049999942</v>
      </c>
      <c r="BX20" s="321">
        <v>105</v>
      </c>
      <c r="BY20" s="259">
        <v>42183</v>
      </c>
      <c r="BZ20" s="68">
        <v>124332.78</v>
      </c>
      <c r="CA20" s="233">
        <v>42183</v>
      </c>
      <c r="CB20" s="237">
        <v>105</v>
      </c>
      <c r="CC20" s="68"/>
      <c r="CD20" s="68"/>
      <c r="CE20" s="68"/>
      <c r="CF20" s="68"/>
      <c r="CG20" s="68"/>
      <c r="CH20" s="144"/>
      <c r="CI20" s="103"/>
      <c r="CJ20" s="317" t="s">
        <v>2282</v>
      </c>
      <c r="CK20" s="310">
        <v>3.13</v>
      </c>
      <c r="CL20" s="412">
        <v>1</v>
      </c>
      <c r="CM20" s="55" t="str" cm="1">
        <f t="array" ref="CM20">IFERROR(_xlfn.IFS($CN$16="Sales",CJ20,$CN$16="Profit",CJ26),"")</f>
        <v>Okidata Pacemark 4410N Wide Format Dot Matrix Printer</v>
      </c>
      <c r="CN20" s="270" cm="1">
        <f t="array" ref="CN20">IFERROR(_xlfn.IFS($CN$16="Sales",CK20,$CN$16="Profit",CK26),"")</f>
        <v>-10999.533191999999</v>
      </c>
      <c r="CO20" s="287" cm="1">
        <f t="array" ref="CO20">IFERROR(_xlfn.IFS($CN$16="Sales",CL20,$CN$16="Profit",CL26),"")</f>
        <v>2</v>
      </c>
    </row>
    <row r="21" spans="2:93" ht="15.75" thickBot="1" x14ac:dyDescent="0.3">
      <c r="B21" s="340" t="s">
        <v>30</v>
      </c>
      <c r="C21" s="118">
        <v>172511.33</v>
      </c>
      <c r="D21" s="333">
        <v>9.1686983212025425E-2</v>
      </c>
      <c r="E21" s="63">
        <v>882</v>
      </c>
      <c r="F21" s="334">
        <v>3.5136642498605687E-2</v>
      </c>
      <c r="G21" s="74" t="s">
        <v>30</v>
      </c>
      <c r="H21" s="64">
        <v>3</v>
      </c>
      <c r="I21" s="64">
        <v>10</v>
      </c>
      <c r="J21" s="75">
        <f t="shared" si="2"/>
        <v>172511.33</v>
      </c>
      <c r="K21" s="110" t="str">
        <f t="shared" si="7"/>
        <v/>
      </c>
      <c r="L21" s="110">
        <f t="shared" si="8"/>
        <v>172511.33</v>
      </c>
      <c r="M21" s="76">
        <f t="shared" si="3"/>
        <v>882</v>
      </c>
      <c r="N21" s="77">
        <f t="shared" si="4"/>
        <v>3.5136642498605687E-2</v>
      </c>
      <c r="O21" s="63"/>
      <c r="P21" s="63"/>
      <c r="Q21" s="63"/>
      <c r="R21" s="65"/>
      <c r="S21" s="119"/>
      <c r="U21" s="222" t="s">
        <v>388</v>
      </c>
      <c r="V21" s="360">
        <v>14737.27</v>
      </c>
      <c r="W21" s="353">
        <v>15421.737999999999</v>
      </c>
      <c r="X21" s="353">
        <v>322.52999999999997</v>
      </c>
      <c r="Y21" s="355">
        <v>-1982.6450000000009</v>
      </c>
      <c r="Z21" s="78"/>
      <c r="AA21" s="158" t="str">
        <f t="shared" si="0"/>
        <v>Kentucky</v>
      </c>
      <c r="AB21" s="168">
        <v>14737.27</v>
      </c>
      <c r="AC21" s="144">
        <f t="shared" si="16"/>
        <v>1</v>
      </c>
      <c r="AD21" s="179" t="s">
        <v>53</v>
      </c>
      <c r="AE21" s="146" t="s">
        <v>29</v>
      </c>
      <c r="AF21" s="180">
        <f>IFERROR(GETPIVOTDATA("[Measures].[Sum of Cumulative cost]",$AD$5,"[Table_1].[Product Category]","[Table_1].[Product Category].&amp;[Furniture]","[Table_1].[Region]","[Table_1].[Region].&amp;[Central]"),"")</f>
        <v>131268.74200539998</v>
      </c>
      <c r="AG21" s="180">
        <f>IFERROR(GETPIVOTDATA("[Measures].[Sum of Shipping Cost]",$AD$5,"[Table_1].[Product Category]","[Table_1].[Product Category].&amp;[Furniture]","[Table_1].[Region]","[Table_1].[Region].&amp;[Central]"),"")</f>
        <v>3295</v>
      </c>
      <c r="AH21" s="180">
        <f>IFERROR(GETPIVOTDATA("[Measures].[Sum of Discount]",$AD$5,"[Table_1].[Product Category]","[Table_1].[Product Category].&amp;[Furniture]","[Table_1].[Region]","[Table_1].[Region].&amp;[Central]"),"")</f>
        <v>5.8499999999999943</v>
      </c>
      <c r="AI21" s="180">
        <f>IFERROR(GETPIVOTDATA("[Measures].[Sum of Profit]",$AD$5,"[Table_1].[Product Category]","[Table_1].[Product Category].&amp;[Furniture]","[Table_1].[Region]","[Table_1].[Region].&amp;[Central]"),"")</f>
        <v>6301.754294600003</v>
      </c>
      <c r="AJ21" s="181">
        <f>IFERROR(GETPIVOTDATA("[Measures].[Sum of Sales]",$AD$5,"[Table_1].[Product Category]","[Table_1].[Product Category].&amp;[Furniture]","[Table_1].[Region]","[Table_1].[Region].&amp;[Central]"),"")</f>
        <v>148455.14000000001</v>
      </c>
      <c r="AK21" s="83"/>
      <c r="AL21" s="222"/>
      <c r="AM21" s="392">
        <v>42019</v>
      </c>
      <c r="AN21" s="348">
        <v>4829.95</v>
      </c>
      <c r="AO21" s="146">
        <v>-3549.8535399999996</v>
      </c>
      <c r="AP21" s="147">
        <v>130</v>
      </c>
      <c r="AQ21" s="59">
        <v>42019</v>
      </c>
      <c r="AR21" s="180">
        <v>4829.95</v>
      </c>
      <c r="AS21" s="61">
        <f t="shared" si="11"/>
        <v>1</v>
      </c>
      <c r="AT21" s="185">
        <f t="shared" si="12"/>
        <v>3</v>
      </c>
      <c r="AU21" s="196">
        <f>SMALL($AR$7:$AR$185,COUNTIF($AR$7:$AR$185,0)+2)</f>
        <v>262.77999999999997</v>
      </c>
      <c r="AV21" s="197" cm="1">
        <f t="array" ref="AV21">INDEX($AQ$7:$AQ$185,MATCH(TRUE,INDEX(_xlfn.ANCHORARRAY($AR$7)=AU21,0),0))</f>
        <v>42066</v>
      </c>
      <c r="AW21" s="186">
        <f>SMALL($AY$27:$AY$43,COUNTIF($AY$27:$AY$43,0)+2)</f>
        <v>4914.82</v>
      </c>
      <c r="AX21" s="68" t="str" cm="1">
        <f t="array" ref="AX21">INDEX($AU$27:$AU$43,MATCH(TRUE,INDEX($AY$27:$AY$43=AW21,0),0))</f>
        <v>Labels</v>
      </c>
      <c r="AY21" s="144"/>
      <c r="AZ21" s="68"/>
      <c r="BB21" s="225" t="s">
        <v>28</v>
      </c>
      <c r="BC21" s="253" t="s">
        <v>48</v>
      </c>
      <c r="BD21" s="261">
        <v>102908.14</v>
      </c>
      <c r="BE21" s="262">
        <v>8236.5897568000019</v>
      </c>
      <c r="BF21" s="322">
        <v>62</v>
      </c>
      <c r="BG21" s="263">
        <v>42185</v>
      </c>
      <c r="BH21" s="68">
        <v>8236.5897568000019</v>
      </c>
      <c r="BI21" s="233">
        <v>42185</v>
      </c>
      <c r="BJ21" s="61">
        <v>62</v>
      </c>
      <c r="BK21" s="78"/>
      <c r="BL21" s="68"/>
      <c r="BM21" s="68"/>
      <c r="BN21" s="68"/>
      <c r="BO21" s="68"/>
      <c r="BP21" s="68"/>
      <c r="BQ21" s="68"/>
      <c r="BR21" s="144"/>
      <c r="BS21" s="68"/>
      <c r="BT21" s="222"/>
      <c r="BU21" s="268" t="s">
        <v>28</v>
      </c>
      <c r="BV21" s="258">
        <v>72004.78</v>
      </c>
      <c r="BW21" s="320">
        <v>11729.914612680001</v>
      </c>
      <c r="BX21" s="321">
        <v>49</v>
      </c>
      <c r="BY21" s="259">
        <v>42181</v>
      </c>
      <c r="BZ21" s="68">
        <v>72004.78</v>
      </c>
      <c r="CA21" s="233">
        <v>42181</v>
      </c>
      <c r="CB21" s="237">
        <v>49</v>
      </c>
      <c r="CC21" s="68"/>
      <c r="CD21" s="68"/>
      <c r="CE21" s="68"/>
      <c r="CF21" s="68"/>
      <c r="CG21" s="68"/>
      <c r="CH21" s="144"/>
      <c r="CJ21" s="288"/>
      <c r="CL21" s="287"/>
      <c r="CO21" s="287"/>
    </row>
    <row r="22" spans="2:93" ht="15.75" thickBot="1" x14ac:dyDescent="0.3">
      <c r="B22" s="341" t="s">
        <v>135</v>
      </c>
      <c r="C22" s="118">
        <v>198764.49</v>
      </c>
      <c r="D22" s="333">
        <v>0.1056401133640138</v>
      </c>
      <c r="E22" s="63">
        <v>2358</v>
      </c>
      <c r="F22" s="334">
        <v>9.3936738108517256E-2</v>
      </c>
      <c r="G22" s="84" t="s">
        <v>135</v>
      </c>
      <c r="H22" s="85">
        <v>26</v>
      </c>
      <c r="I22" s="85">
        <v>17</v>
      </c>
      <c r="J22" s="86">
        <f t="shared" si="2"/>
        <v>198764.49</v>
      </c>
      <c r="K22" s="111" t="str">
        <f t="shared" si="7"/>
        <v/>
      </c>
      <c r="L22" s="111">
        <f t="shared" si="8"/>
        <v>198764.49</v>
      </c>
      <c r="M22" s="87">
        <f t="shared" si="3"/>
        <v>2358</v>
      </c>
      <c r="N22" s="88">
        <f t="shared" si="4"/>
        <v>9.3936738108517256E-2</v>
      </c>
      <c r="O22" s="63"/>
      <c r="P22" s="63"/>
      <c r="Q22" s="63"/>
      <c r="R22" s="65"/>
      <c r="S22" s="119"/>
      <c r="U22" s="222" t="s">
        <v>168</v>
      </c>
      <c r="V22" s="360">
        <v>14909.43</v>
      </c>
      <c r="W22" s="353">
        <v>13032.440979999999</v>
      </c>
      <c r="X22" s="353">
        <v>175.57</v>
      </c>
      <c r="Y22" s="355">
        <v>710.12542000000008</v>
      </c>
      <c r="Z22" s="78"/>
      <c r="AA22" s="158" t="str">
        <f t="shared" si="0"/>
        <v>Louisiana</v>
      </c>
      <c r="AB22" s="168">
        <v>14909.43</v>
      </c>
      <c r="AC22" s="144">
        <f t="shared" si="16"/>
        <v>1</v>
      </c>
      <c r="AD22" s="179" t="s">
        <v>53</v>
      </c>
      <c r="AE22" s="146" t="s">
        <v>49</v>
      </c>
      <c r="AF22" s="180">
        <f>IFERROR(GETPIVOTDATA("[Measures].[Sum of Cumulative cost]",$AD$5,"[Table_1].[Product Category]","[Table_1].[Product Category].&amp;[Office Supplies]","[Table_1].[Region]","[Table_1].[Region].&amp;[Central]"),"")</f>
        <v>80084.997369999983</v>
      </c>
      <c r="AG22" s="180">
        <f>IFERROR(GETPIVOTDATA("[Measures].[Sum of Shipping Cost]",$AD$5,"[Table_1].[Product Category]","[Table_1].[Product Category].&amp;[Office Supplies]","[Table_1].[Region]","[Table_1].[Region].&amp;[Central]"),"")</f>
        <v>2496</v>
      </c>
      <c r="AH22" s="180">
        <f>IFERROR(GETPIVOTDATA("[Measures].[Sum of Discount]",$AD$5,"[Table_1].[Product Category]","[Table_1].[Product Category].&amp;[Office Supplies]","[Table_1].[Region]","[Table_1].[Region].&amp;[Central]"),"")</f>
        <v>15.109999999999983</v>
      </c>
      <c r="AI22" s="180">
        <f>IFERROR(GETPIVOTDATA("[Measures].[Sum of Profit]",$AD$5,"[Table_1].[Product Category]","[Table_1].[Product Category].&amp;[Office Supplies]","[Table_1].[Region]","[Table_1].[Region].&amp;[Central]"),"")</f>
        <v>28333.074329999999</v>
      </c>
      <c r="AJ22" s="181">
        <f>IFERROR(GETPIVOTDATA("[Measures].[Sum of Sales]",$AD$5,"[Table_1].[Product Category]","[Table_1].[Product Category].&amp;[Office Supplies]","[Table_1].[Region]","[Table_1].[Region].&amp;[Central]"),"")</f>
        <v>115119.97</v>
      </c>
      <c r="AK22" s="83"/>
      <c r="AL22" s="222"/>
      <c r="AM22" s="392">
        <v>42020</v>
      </c>
      <c r="AN22" s="348">
        <v>3964.13</v>
      </c>
      <c r="AO22" s="146">
        <v>-823.30615732000001</v>
      </c>
      <c r="AP22" s="147">
        <v>166</v>
      </c>
      <c r="AQ22" s="59">
        <v>42020</v>
      </c>
      <c r="AR22" s="180">
        <v>3964.13</v>
      </c>
      <c r="AS22" s="61">
        <f t="shared" si="11"/>
        <v>1</v>
      </c>
      <c r="AT22" s="185">
        <f t="shared" si="12"/>
        <v>3</v>
      </c>
      <c r="AU22" s="196">
        <f>SMALL($AR$7:$AR$185,COUNTIF($AR$7:$AR$185,0)+3)</f>
        <v>338.41</v>
      </c>
      <c r="AV22" s="197" cm="1">
        <f t="array" ref="AV22">INDEX($AQ$7:$AQ$185,MATCH(TRUE,INDEX(_xlfn.ANCHORARRAY($AR$7)=AU22,0),0))</f>
        <v>42182</v>
      </c>
      <c r="AW22" s="186">
        <f>SMALL($AY$27:$AY$43,COUNTIF($AY$27:$AY$43,0)+3)</f>
        <v>6752.18</v>
      </c>
      <c r="AX22" s="68" t="str" cm="1">
        <f t="array" ref="AX22">INDEX($AU$27:$AU$43,MATCH(TRUE,INDEX($AY$27:$AY$43=AW22,0),0))</f>
        <v>Scissors, Rulers and Trimmers</v>
      </c>
      <c r="AY22" s="144"/>
      <c r="AZ22" s="68"/>
      <c r="BB22" s="222"/>
      <c r="BC22" s="257" t="s">
        <v>116</v>
      </c>
      <c r="BD22" s="258">
        <v>59390.35</v>
      </c>
      <c r="BE22" s="320">
        <v>13231.464498750001</v>
      </c>
      <c r="BF22" s="321">
        <v>47</v>
      </c>
      <c r="BG22" s="259">
        <v>42183</v>
      </c>
      <c r="BH22" s="68">
        <v>13231.464498750001</v>
      </c>
      <c r="BI22" s="233">
        <v>42183</v>
      </c>
      <c r="BJ22" s="61">
        <v>47</v>
      </c>
      <c r="BK22" s="78"/>
      <c r="BL22" s="68"/>
      <c r="BM22" s="68"/>
      <c r="BN22" s="68"/>
      <c r="BO22" s="68"/>
      <c r="BP22" s="68"/>
      <c r="BQ22" s="68"/>
      <c r="BR22" s="144"/>
      <c r="BS22" s="68"/>
      <c r="BT22" s="225" t="s">
        <v>3094</v>
      </c>
      <c r="BU22" s="221" t="s">
        <v>71</v>
      </c>
      <c r="BV22" s="261">
        <v>86227.79</v>
      </c>
      <c r="BW22" s="262">
        <v>22699.893596000005</v>
      </c>
      <c r="BX22" s="322">
        <v>66</v>
      </c>
      <c r="BY22" s="263">
        <v>42185</v>
      </c>
      <c r="BZ22" s="68">
        <v>86227.79</v>
      </c>
      <c r="CA22" s="233">
        <v>42185</v>
      </c>
      <c r="CB22" s="237">
        <v>66</v>
      </c>
      <c r="CC22" s="68"/>
      <c r="CD22" s="68"/>
      <c r="CE22" s="68"/>
      <c r="CF22" s="68"/>
      <c r="CG22" s="68"/>
      <c r="CH22" s="144"/>
      <c r="CI22" s="103"/>
      <c r="CJ22" s="288" t="s">
        <v>3099</v>
      </c>
      <c r="CK22" s="281"/>
      <c r="CL22" s="296"/>
      <c r="CO22" s="287"/>
    </row>
    <row r="23" spans="2:93" ht="15.75" thickBot="1" x14ac:dyDescent="0.3">
      <c r="B23" s="342" t="s">
        <v>3015</v>
      </c>
      <c r="C23" s="136">
        <v>1881524.77</v>
      </c>
      <c r="D23" s="335">
        <v>1</v>
      </c>
      <c r="E23" s="125">
        <v>25102</v>
      </c>
      <c r="F23" s="336">
        <v>1</v>
      </c>
      <c r="G23" s="126"/>
      <c r="H23" s="127"/>
      <c r="I23" s="127"/>
      <c r="J23" s="125"/>
      <c r="K23" s="125"/>
      <c r="L23" s="125"/>
      <c r="M23" s="125"/>
      <c r="N23" s="125"/>
      <c r="O23" s="125"/>
      <c r="P23" s="125"/>
      <c r="Q23" s="125"/>
      <c r="R23" s="128"/>
      <c r="S23" s="129"/>
      <c r="U23" s="222" t="s">
        <v>331</v>
      </c>
      <c r="V23" s="360">
        <v>30532.71</v>
      </c>
      <c r="W23" s="353">
        <v>24783.743806999999</v>
      </c>
      <c r="X23" s="353">
        <v>502.27</v>
      </c>
      <c r="Y23" s="355">
        <v>3169.4628930000008</v>
      </c>
      <c r="Z23" s="78"/>
      <c r="AA23" s="158" t="str">
        <f t="shared" si="0"/>
        <v>Maine</v>
      </c>
      <c r="AB23" s="168">
        <v>30532.71</v>
      </c>
      <c r="AC23" s="144">
        <f t="shared" si="16"/>
        <v>1</v>
      </c>
      <c r="AD23" s="179" t="s">
        <v>53</v>
      </c>
      <c r="AE23" s="146" t="s">
        <v>41</v>
      </c>
      <c r="AF23" s="180">
        <f>IFERROR(GETPIVOTDATA("[Measures].[Sum of Cumulative cost]",$AD$5,"[Table_1].[Product Category]","[Table_1].[Product Category].&amp;[Technology]","[Table_1].[Region]","[Table_1].[Region].&amp;[Central]"),"")</f>
        <v>123747.83775599999</v>
      </c>
      <c r="AG23" s="180">
        <f>IFERROR(GETPIVOTDATA("[Measures].[Sum of Shipping Cost]",$AD$5,"[Table_1].[Product Category]","[Table_1].[Product Category].&amp;[Technology]","[Table_1].[Region]","[Table_1].[Region].&amp;[Central]"),"")</f>
        <v>1229.6600000000001</v>
      </c>
      <c r="AH23" s="180">
        <f>IFERROR(GETPIVOTDATA("[Measures].[Sum of Discount]",$AD$5,"[Table_1].[Product Category]","[Table_1].[Product Category].&amp;[Technology]","[Table_1].[Region]","[Table_1].[Region].&amp;[Central]"),"")</f>
        <v>6.4799999999999933</v>
      </c>
      <c r="AI23" s="180">
        <f>IFERROR(GETPIVOTDATA("[Measures].[Sum of Profit]",$AD$5,"[Table_1].[Product Category]","[Table_1].[Product Category].&amp;[Technology]","[Table_1].[Region]","[Table_1].[Region].&amp;[Central]"),"")</f>
        <v>44010.946644000011</v>
      </c>
      <c r="AJ23" s="181">
        <f>IFERROR(GETPIVOTDATA("[Measures].[Sum of Sales]",$AD$5,"[Table_1].[Product Category]","[Table_1].[Product Category].&amp;[Technology]","[Table_1].[Region]","[Table_1].[Region].&amp;[Central]"),"")</f>
        <v>177870.51</v>
      </c>
      <c r="AK23" s="83"/>
      <c r="AL23" s="222"/>
      <c r="AM23" s="392">
        <v>42021</v>
      </c>
      <c r="AN23" s="348">
        <v>6667.69</v>
      </c>
      <c r="AO23" s="146">
        <v>-1565.7061300000003</v>
      </c>
      <c r="AP23" s="147">
        <v>217</v>
      </c>
      <c r="AQ23" s="59">
        <v>42021</v>
      </c>
      <c r="AR23" s="180">
        <v>6667.69</v>
      </c>
      <c r="AS23" s="61">
        <f t="shared" si="11"/>
        <v>1</v>
      </c>
      <c r="AT23" s="185">
        <f t="shared" si="12"/>
        <v>3</v>
      </c>
      <c r="AU23" s="143"/>
      <c r="AV23" s="68"/>
      <c r="AW23" s="68"/>
      <c r="AX23" s="68"/>
      <c r="AY23" s="144"/>
      <c r="AZ23" s="68"/>
      <c r="BB23" s="222"/>
      <c r="BC23" s="257" t="s">
        <v>38</v>
      </c>
      <c r="BD23" s="258">
        <v>38272.589999999997</v>
      </c>
      <c r="BE23" s="320">
        <v>8144.6507180000026</v>
      </c>
      <c r="BF23" s="321">
        <v>52</v>
      </c>
      <c r="BG23" s="259">
        <v>42183</v>
      </c>
      <c r="BH23" s="68">
        <v>8144.6507180000026</v>
      </c>
      <c r="BI23" s="233">
        <v>42183</v>
      </c>
      <c r="BJ23" s="61">
        <v>52</v>
      </c>
      <c r="BK23" s="78"/>
      <c r="BL23" s="68"/>
      <c r="BM23" s="68"/>
      <c r="BN23" s="68"/>
      <c r="BO23" s="68"/>
      <c r="BP23" s="68"/>
      <c r="BQ23" s="68"/>
      <c r="BR23" s="144"/>
      <c r="BS23" s="68"/>
      <c r="BT23" s="222"/>
      <c r="BU23" s="267" t="s">
        <v>40</v>
      </c>
      <c r="BV23" s="258">
        <v>60238.44</v>
      </c>
      <c r="BW23" s="320">
        <v>13436.388891999999</v>
      </c>
      <c r="BX23" s="321">
        <v>61</v>
      </c>
      <c r="BY23" s="259">
        <v>42185</v>
      </c>
      <c r="BZ23" s="68">
        <v>60238.44</v>
      </c>
      <c r="CA23" s="233">
        <v>42185</v>
      </c>
      <c r="CB23" s="61">
        <v>61</v>
      </c>
      <c r="CC23" s="78"/>
      <c r="CD23" s="68"/>
      <c r="CE23" s="68"/>
      <c r="CF23" s="68"/>
      <c r="CG23" s="68"/>
      <c r="CH23" s="144"/>
      <c r="CI23" s="103"/>
      <c r="CJ23" s="314" t="s">
        <v>11</v>
      </c>
      <c r="CK23" s="312" t="s">
        <v>20</v>
      </c>
      <c r="CL23" s="318" t="s">
        <v>3016</v>
      </c>
      <c r="CO23" s="287"/>
    </row>
    <row r="24" spans="2:93" ht="15.75" thickBot="1" x14ac:dyDescent="0.3">
      <c r="B24" s="63"/>
      <c r="C24" s="63"/>
      <c r="D24" s="63"/>
      <c r="E24" s="63"/>
      <c r="F24" s="63"/>
      <c r="G24" s="63"/>
      <c r="H24" s="64"/>
      <c r="I24" s="64"/>
      <c r="J24" s="63"/>
      <c r="K24" s="63"/>
      <c r="L24" s="63"/>
      <c r="M24" s="63"/>
      <c r="N24" s="63"/>
      <c r="O24" s="63"/>
      <c r="P24" s="63"/>
      <c r="Q24" s="63"/>
      <c r="R24" s="65"/>
      <c r="S24" s="65"/>
      <c r="U24" s="222" t="s">
        <v>418</v>
      </c>
      <c r="V24" s="360">
        <v>15403.56</v>
      </c>
      <c r="W24" s="353">
        <v>13032.598839999999</v>
      </c>
      <c r="X24" s="353">
        <v>373.22</v>
      </c>
      <c r="Y24" s="355">
        <v>1336.0164599999991</v>
      </c>
      <c r="Z24" s="78"/>
      <c r="AA24" s="158" t="str">
        <f t="shared" si="0"/>
        <v>Maryland</v>
      </c>
      <c r="AB24" s="168">
        <v>15403.56</v>
      </c>
      <c r="AC24" s="144">
        <f t="shared" si="16"/>
        <v>1</v>
      </c>
      <c r="AD24" s="179" t="s">
        <v>111</v>
      </c>
      <c r="AE24" s="146" t="s">
        <v>29</v>
      </c>
      <c r="AF24" s="180">
        <f>IFERROR(GETPIVOTDATA("[Measures].[Sum of Cumulative cost]",$AD$5,"[Table_1].[Product Category]","[Table_1].[Product Category].&amp;[Furniture]","[Table_1].[Region]","[Table_1].[Region].&amp;[East]"),"")</f>
        <v>178464.49809199994</v>
      </c>
      <c r="AG24" s="180">
        <f>IFERROR(GETPIVOTDATA("[Measures].[Sum of Shipping Cost]",$AD$5,"[Table_1].[Product Category]","[Table_1].[Product Category].&amp;[Furniture]","[Table_1].[Region]","[Table_1].[Region].&amp;[East]"),"")</f>
        <v>3275.32</v>
      </c>
      <c r="AH24" s="180">
        <f>IFERROR(GETPIVOTDATA("[Measures].[Sum of Discount]",$AD$5,"[Table_1].[Product Category]","[Table_1].[Product Category].&amp;[Furniture]","[Table_1].[Region]","[Table_1].[Region].&amp;[East]"),"")</f>
        <v>4.7399999999999949</v>
      </c>
      <c r="AI24" s="180">
        <f>IFERROR(GETPIVOTDATA("[Measures].[Sum of Profit]",$AD$5,"[Table_1].[Product Category]","[Table_1].[Product Category].&amp;[Furniture]","[Table_1].[Region]","[Table_1].[Region].&amp;[East]"),"")</f>
        <v>-923.6501919999962</v>
      </c>
      <c r="AJ24" s="181">
        <f>IFERROR(GETPIVOTDATA("[Measures].[Sum of Sales]",$AD$5,"[Table_1].[Product Category]","[Table_1].[Product Category].&amp;[Furniture]","[Table_1].[Region]","[Table_1].[Region].&amp;[East]"),"")</f>
        <v>189677.38</v>
      </c>
      <c r="AK24" s="83"/>
      <c r="AL24" s="222"/>
      <c r="AM24" s="392">
        <v>42022</v>
      </c>
      <c r="AN24" s="348">
        <v>2987.38</v>
      </c>
      <c r="AO24" s="146">
        <v>2760.40454</v>
      </c>
      <c r="AP24" s="147">
        <v>27</v>
      </c>
      <c r="AQ24" s="59">
        <v>42022</v>
      </c>
      <c r="AR24" s="180">
        <v>2987.38</v>
      </c>
      <c r="AS24" s="61">
        <f t="shared" si="11"/>
        <v>1</v>
      </c>
      <c r="AT24" s="185">
        <f t="shared" si="12"/>
        <v>4</v>
      </c>
      <c r="AU24" s="143"/>
      <c r="AV24" s="68"/>
      <c r="AW24" s="68"/>
      <c r="AX24" s="68"/>
      <c r="AY24" s="144"/>
      <c r="AZ24" s="68"/>
      <c r="BB24" s="222"/>
      <c r="BC24" s="257" t="s">
        <v>26</v>
      </c>
      <c r="BD24" s="258">
        <v>72004.78</v>
      </c>
      <c r="BE24" s="320">
        <v>11729.914612680001</v>
      </c>
      <c r="BF24" s="321">
        <v>49</v>
      </c>
      <c r="BG24" s="259">
        <v>42181</v>
      </c>
      <c r="BH24" s="68">
        <v>11729.914612680001</v>
      </c>
      <c r="BI24" s="233">
        <v>42181</v>
      </c>
      <c r="BJ24" s="61">
        <v>49</v>
      </c>
      <c r="BK24" s="78"/>
      <c r="BL24" s="68"/>
      <c r="BM24" s="68"/>
      <c r="BN24" s="68"/>
      <c r="BO24" s="68"/>
      <c r="BP24" s="68"/>
      <c r="BQ24" s="68"/>
      <c r="BR24" s="144"/>
      <c r="BS24" s="68"/>
      <c r="BT24" s="222"/>
      <c r="BU24" s="267" t="s">
        <v>94</v>
      </c>
      <c r="BV24" s="258">
        <v>147995.46</v>
      </c>
      <c r="BW24" s="320">
        <v>8400.3930129999972</v>
      </c>
      <c r="BX24" s="321">
        <v>97</v>
      </c>
      <c r="BY24" s="259">
        <v>42182</v>
      </c>
      <c r="BZ24" s="68">
        <v>147995.46</v>
      </c>
      <c r="CA24" s="233">
        <v>42182</v>
      </c>
      <c r="CB24" s="61">
        <v>97</v>
      </c>
      <c r="CC24" s="78"/>
      <c r="CD24" s="68"/>
      <c r="CE24" s="68"/>
      <c r="CF24" s="68"/>
      <c r="CG24" s="68"/>
      <c r="CH24" s="144"/>
      <c r="CI24" s="103"/>
      <c r="CJ24" s="315" t="s">
        <v>314</v>
      </c>
      <c r="CK24" s="308">
        <v>-27621.245408000002</v>
      </c>
      <c r="CL24" s="297">
        <v>7</v>
      </c>
      <c r="CO24" s="287"/>
    </row>
    <row r="25" spans="2:93" ht="15.75" thickBot="1" x14ac:dyDescent="0.3">
      <c r="B25" s="63"/>
      <c r="C25" s="63"/>
      <c r="D25" s="63"/>
      <c r="E25" s="63"/>
      <c r="F25" s="63"/>
      <c r="G25" s="63"/>
      <c r="H25" s="64"/>
      <c r="I25" s="64"/>
      <c r="J25" s="63"/>
      <c r="K25" s="63"/>
      <c r="L25" s="63"/>
      <c r="M25" s="63"/>
      <c r="N25" s="63"/>
      <c r="O25" s="63"/>
      <c r="P25" s="63"/>
      <c r="Q25" s="63"/>
      <c r="R25" s="65"/>
      <c r="S25" s="65"/>
      <c r="U25" s="222" t="s">
        <v>403</v>
      </c>
      <c r="V25" s="360">
        <v>59114.82</v>
      </c>
      <c r="W25" s="353">
        <v>49711.163120000012</v>
      </c>
      <c r="X25" s="353">
        <v>538.89</v>
      </c>
      <c r="Y25" s="355">
        <v>5293.7839800000002</v>
      </c>
      <c r="Z25" s="78"/>
      <c r="AA25" s="158" t="str">
        <f t="shared" si="0"/>
        <v>Massachusetts</v>
      </c>
      <c r="AB25" s="168">
        <v>59114.82</v>
      </c>
      <c r="AC25" s="144">
        <f t="shared" si="16"/>
        <v>1</v>
      </c>
      <c r="AD25" s="179" t="s">
        <v>111</v>
      </c>
      <c r="AE25" s="146" t="s">
        <v>49</v>
      </c>
      <c r="AF25" s="180">
        <f>IFERROR(GETPIVOTDATA("[Measures].[Sum of Cumulative cost]",$AD$5,"[Table_1].[Product Category]","[Table_1].[Product Category].&amp;[Office Supplies]","[Table_1].[Region]","[Table_1].[Region].&amp;[East]"),"")</f>
        <v>147891.75536999988</v>
      </c>
      <c r="AG25" s="180">
        <f>IFERROR(GETPIVOTDATA("[Measures].[Sum of Shipping Cost]",$AD$5,"[Table_1].[Product Category]","[Table_1].[Product Category].&amp;[Office Supplies]","[Table_1].[Region]","[Table_1].[Region].&amp;[East]"),"")</f>
        <v>2138.65</v>
      </c>
      <c r="AH25" s="180">
        <f>IFERROR(GETPIVOTDATA("[Measures].[Sum of Discount]",$AD$5,"[Table_1].[Product Category]","[Table_1].[Product Category].&amp;[Office Supplies]","[Table_1].[Region]","[Table_1].[Region].&amp;[East]"),"")</f>
        <v>13.469999999999972</v>
      </c>
      <c r="AI25" s="180">
        <f>IFERROR(GETPIVOTDATA("[Measures].[Sum of Profit]",$AD$5,"[Table_1].[Product Category]","[Table_1].[Product Category].&amp;[Office Supplies]","[Table_1].[Region]","[Table_1].[Region].&amp;[East]"),"")</f>
        <v>51854.281129999996</v>
      </c>
      <c r="AJ25" s="181">
        <f>IFERROR(GETPIVOTDATA("[Measures].[Sum of Sales]",$AD$5,"[Table_1].[Product Category]","[Table_1].[Product Category].&amp;[Office Supplies]","[Table_1].[Region]","[Table_1].[Region].&amp;[East]"),"")</f>
        <v>210991.5</v>
      </c>
      <c r="AK25" s="83"/>
      <c r="AL25" s="222"/>
      <c r="AM25" s="392">
        <v>42023</v>
      </c>
      <c r="AN25" s="348">
        <v>1652.89</v>
      </c>
      <c r="AO25" s="146">
        <v>539.44622000000004</v>
      </c>
      <c r="AP25" s="147">
        <v>21</v>
      </c>
      <c r="AQ25" s="59">
        <v>42023</v>
      </c>
      <c r="AR25" s="180">
        <v>1652.89</v>
      </c>
      <c r="AS25" s="61">
        <f t="shared" si="11"/>
        <v>1</v>
      </c>
      <c r="AT25" s="185">
        <f t="shared" si="12"/>
        <v>4</v>
      </c>
      <c r="AU25" s="139" t="s">
        <v>3089</v>
      </c>
      <c r="AV25" s="68"/>
      <c r="AW25" s="68"/>
      <c r="AX25" s="68"/>
      <c r="AY25" s="147"/>
      <c r="AZ25" s="68"/>
      <c r="BB25" s="223"/>
      <c r="BC25" s="260" t="s">
        <v>3094</v>
      </c>
      <c r="BD25" s="264">
        <v>118690.16</v>
      </c>
      <c r="BE25" s="265">
        <v>22947.839705000009</v>
      </c>
      <c r="BF25" s="323">
        <v>53</v>
      </c>
      <c r="BG25" s="266">
        <v>42180</v>
      </c>
      <c r="BH25" s="68">
        <v>22947.839705000009</v>
      </c>
      <c r="BI25" s="233">
        <v>42180</v>
      </c>
      <c r="BJ25" s="61">
        <v>53</v>
      </c>
      <c r="BK25" s="78"/>
      <c r="BL25" s="68"/>
      <c r="BM25" s="68"/>
      <c r="BN25" s="68"/>
      <c r="BO25" s="68"/>
      <c r="BP25" s="68"/>
      <c r="BQ25" s="68"/>
      <c r="BR25" s="144"/>
      <c r="BS25" s="68"/>
      <c r="BT25" s="223"/>
      <c r="BU25" s="268" t="s">
        <v>28</v>
      </c>
      <c r="BV25" s="264">
        <v>118690.16</v>
      </c>
      <c r="BW25" s="265">
        <v>22947.839705000009</v>
      </c>
      <c r="BX25" s="323">
        <v>53</v>
      </c>
      <c r="BY25" s="266">
        <v>42180</v>
      </c>
      <c r="BZ25" s="68">
        <v>118690.16</v>
      </c>
      <c r="CA25" s="233">
        <v>42180</v>
      </c>
      <c r="CB25" s="61">
        <v>53</v>
      </c>
      <c r="CC25" s="78"/>
      <c r="CD25" s="68"/>
      <c r="CE25" s="68"/>
      <c r="CF25" s="68"/>
      <c r="CG25" s="68"/>
      <c r="CH25" s="144"/>
      <c r="CI25" s="103"/>
      <c r="CJ25" s="316" t="s">
        <v>1249</v>
      </c>
      <c r="CK25" s="309">
        <v>-12548.946099999999</v>
      </c>
      <c r="CL25" s="296">
        <v>51</v>
      </c>
      <c r="CO25" s="287"/>
    </row>
    <row r="26" spans="2:93" ht="15.75" thickBot="1" x14ac:dyDescent="0.3">
      <c r="B26" s="113" t="s">
        <v>3077</v>
      </c>
      <c r="C26" s="114"/>
      <c r="D26" s="130"/>
      <c r="E26" s="131"/>
      <c r="F26" s="132" t="s">
        <v>3079</v>
      </c>
      <c r="G26" s="133"/>
      <c r="H26" s="137"/>
      <c r="I26" s="138" t="s">
        <v>3080</v>
      </c>
      <c r="J26" s="133"/>
      <c r="K26" s="63"/>
      <c r="L26" s="63"/>
      <c r="M26" s="63"/>
      <c r="N26" s="63"/>
      <c r="O26" s="63"/>
      <c r="P26" s="63"/>
      <c r="Q26" s="63"/>
      <c r="R26" s="65"/>
      <c r="S26" s="65"/>
      <c r="U26" s="222" t="s">
        <v>289</v>
      </c>
      <c r="V26" s="360">
        <v>69641.81</v>
      </c>
      <c r="W26" s="353">
        <v>53617.758808400016</v>
      </c>
      <c r="X26" s="353">
        <v>832.47</v>
      </c>
      <c r="Y26" s="355">
        <v>12307.551891600006</v>
      </c>
      <c r="Z26" s="78"/>
      <c r="AA26" s="158" t="str">
        <f t="shared" si="0"/>
        <v>Michigan</v>
      </c>
      <c r="AB26" s="168">
        <v>69641.81</v>
      </c>
      <c r="AC26" s="144">
        <f t="shared" si="16"/>
        <v>1</v>
      </c>
      <c r="AD26" s="179" t="s">
        <v>111</v>
      </c>
      <c r="AE26" s="146" t="s">
        <v>41</v>
      </c>
      <c r="AF26" s="180">
        <f>IFERROR(GETPIVOTDATA("[Measures].[Sum of Cumulative cost]",$AD$5,"[Table_1].[Product Category]","[Table_1].[Product Category].&amp;[Technology]","[Table_1].[Region]","[Table_1].[Region].&amp;[East]"),"")</f>
        <v>138872.93219199998</v>
      </c>
      <c r="AG26" s="180">
        <f>IFERROR(GETPIVOTDATA("[Measures].[Sum of Shipping Cost]",$AD$5,"[Table_1].[Product Category]","[Table_1].[Product Category].&amp;[Technology]","[Table_1].[Region]","[Table_1].[Region].&amp;[East]"),"")</f>
        <v>1032.54</v>
      </c>
      <c r="AH26" s="180">
        <f>IFERROR(GETPIVOTDATA("[Measures].[Sum of Discount]",$AD$5,"[Table_1].[Product Category]","[Table_1].[Product Category].&amp;[Technology]","[Table_1].[Region]","[Table_1].[Region].&amp;[East]"),"")</f>
        <v>5.1499999999999941</v>
      </c>
      <c r="AI26" s="180">
        <f>IFERROR(GETPIVOTDATA("[Measures].[Sum of Profit]",$AD$5,"[Table_1].[Product Category]","[Table_1].[Product Category].&amp;[Technology]","[Table_1].[Region]","[Table_1].[Region].&amp;[East]"),"")</f>
        <v>34646.814908</v>
      </c>
      <c r="AJ26" s="181">
        <f>IFERROR(GETPIVOTDATA("[Measures].[Sum of Sales]",$AD$5,"[Table_1].[Product Category]","[Table_1].[Product Category].&amp;[Technology]","[Table_1].[Region]","[Table_1].[Region].&amp;[East]"),"")</f>
        <v>184055.31</v>
      </c>
      <c r="AK26" s="83"/>
      <c r="AL26" s="222"/>
      <c r="AM26" s="392">
        <v>42024</v>
      </c>
      <c r="AN26" s="348">
        <v>6109.01</v>
      </c>
      <c r="AO26" s="146">
        <v>641.34900000000016</v>
      </c>
      <c r="AP26" s="147">
        <v>64</v>
      </c>
      <c r="AQ26" s="59">
        <v>42024</v>
      </c>
      <c r="AR26" s="180">
        <v>6109.01</v>
      </c>
      <c r="AS26" s="61">
        <f t="shared" si="11"/>
        <v>1</v>
      </c>
      <c r="AT26" s="185">
        <f t="shared" si="12"/>
        <v>4</v>
      </c>
      <c r="AU26" s="394" t="s">
        <v>3060</v>
      </c>
      <c r="AV26" s="379" t="s">
        <v>22</v>
      </c>
      <c r="AW26" s="380" t="s">
        <v>20</v>
      </c>
      <c r="AX26" s="381" t="s">
        <v>3058</v>
      </c>
      <c r="AY26" s="199" t="str">
        <f>AR5</f>
        <v>Sales</v>
      </c>
      <c r="AZ26" s="68"/>
      <c r="BB26" s="244"/>
      <c r="BC26" s="175"/>
      <c r="BD26" s="245">
        <f>SUM(BD6:BD25)</f>
        <v>1881524.77</v>
      </c>
      <c r="BE26" s="245">
        <f t="shared" ref="BE26:BF26" si="17">SUM(BE6:BE25)</f>
        <v>215023.39973715</v>
      </c>
      <c r="BF26" s="245">
        <f t="shared" si="17"/>
        <v>1361</v>
      </c>
      <c r="BG26" s="175"/>
      <c r="BH26" s="245"/>
      <c r="BI26" s="245"/>
      <c r="BJ26" s="245"/>
      <c r="BK26" s="175"/>
      <c r="BL26" s="175"/>
      <c r="BM26" s="175"/>
      <c r="BN26" s="175"/>
      <c r="BO26" s="175"/>
      <c r="BP26" s="175"/>
      <c r="BQ26" s="175"/>
      <c r="BR26" s="178"/>
      <c r="BS26" s="68"/>
      <c r="BT26" s="272"/>
      <c r="BU26" s="273"/>
      <c r="BV26" s="273"/>
      <c r="BW26" s="273"/>
      <c r="BX26" s="273"/>
      <c r="BY26" s="273"/>
      <c r="BZ26" s="245"/>
      <c r="CA26" s="245"/>
      <c r="CB26" s="245"/>
      <c r="CC26" s="175"/>
      <c r="CD26" s="175"/>
      <c r="CE26" s="175"/>
      <c r="CF26" s="175"/>
      <c r="CG26" s="175"/>
      <c r="CH26" s="178"/>
      <c r="CI26" s="103"/>
      <c r="CJ26" s="317" t="s">
        <v>841</v>
      </c>
      <c r="CK26" s="310">
        <v>-10999.533191999999</v>
      </c>
      <c r="CL26" s="412">
        <v>2</v>
      </c>
      <c r="CM26" s="290"/>
      <c r="CN26" s="291"/>
      <c r="CO26" s="292"/>
    </row>
    <row r="27" spans="2:93" ht="15.75" thickBot="1" x14ac:dyDescent="0.3">
      <c r="B27" s="338" t="s">
        <v>9</v>
      </c>
      <c r="C27" s="328" t="s">
        <v>22</v>
      </c>
      <c r="D27" s="329" t="s">
        <v>3032</v>
      </c>
      <c r="E27" s="118" t="s">
        <v>3078</v>
      </c>
      <c r="F27" s="329" t="s">
        <v>9</v>
      </c>
      <c r="G27" s="329" t="s">
        <v>3030</v>
      </c>
      <c r="H27" s="118" t="s">
        <v>3038</v>
      </c>
      <c r="I27" s="329" t="s">
        <v>9</v>
      </c>
      <c r="J27" s="329" t="s">
        <v>3030</v>
      </c>
      <c r="K27" s="63"/>
      <c r="L27" s="63"/>
      <c r="M27" s="63"/>
      <c r="N27" s="63"/>
      <c r="O27" s="63"/>
      <c r="P27" s="63"/>
      <c r="Q27" s="65"/>
      <c r="R27" s="65"/>
      <c r="S27" s="65"/>
      <c r="T27" s="55"/>
      <c r="U27" s="222" t="s">
        <v>84</v>
      </c>
      <c r="V27" s="360">
        <v>37752.28</v>
      </c>
      <c r="W27" s="353">
        <v>28252.06884</v>
      </c>
      <c r="X27" s="353">
        <v>858.77</v>
      </c>
      <c r="Y27" s="355">
        <v>6932.4458599999989</v>
      </c>
      <c r="Z27" s="78"/>
      <c r="AA27" s="158" t="str">
        <f t="shared" si="0"/>
        <v>Minnesota</v>
      </c>
      <c r="AB27" s="168">
        <v>37752.28</v>
      </c>
      <c r="AC27" s="144">
        <f t="shared" si="16"/>
        <v>1</v>
      </c>
      <c r="AD27" s="179" t="s">
        <v>34</v>
      </c>
      <c r="AE27" s="146" t="s">
        <v>29</v>
      </c>
      <c r="AF27" s="180">
        <f>IFERROR(GETPIVOTDATA("[Measures].[Sum of Cumulative cost]",$AD$5,"[Table_1].[Product Category]","[Table_1].[Product Category].&amp;[Furniture]","[Table_1].[Region]","[Table_1].[Region].&amp;[South]"),"")</f>
        <v>90867.02654625001</v>
      </c>
      <c r="AG27" s="180">
        <f>IFERROR(GETPIVOTDATA("[Measures].[Sum of Shipping Cost]",$AD$5,"[Table_1].[Product Category]","[Table_1].[Product Category].&amp;[Furniture]","[Table_1].[Region]","[Table_1].[Region].&amp;[South]"),"")</f>
        <v>2585.48</v>
      </c>
      <c r="AH27" s="180">
        <f>IFERROR(GETPIVOTDATA("[Measures].[Sum of Discount]",$AD$5,"[Table_1].[Product Category]","[Table_1].[Product Category].&amp;[Furniture]","[Table_1].[Region]","[Table_1].[Region].&amp;[South]"),"")</f>
        <v>4.1999999999999993</v>
      </c>
      <c r="AI27" s="180">
        <f>IFERROR(GETPIVOTDATA("[Measures].[Sum of Profit]",$AD$5,"[Table_1].[Product Category]","[Table_1].[Product Category].&amp;[Furniture]","[Table_1].[Region]","[Table_1].[Region].&amp;[South]"),"")</f>
        <v>-1862.118946250001</v>
      </c>
      <c r="AJ27" s="181">
        <f>IFERROR(GETPIVOTDATA("[Measures].[Sum of Sales]",$AD$5,"[Table_1].[Product Category]","[Table_1].[Product Category].&amp;[Furniture]","[Table_1].[Region]","[Table_1].[Region].&amp;[South]"),"")</f>
        <v>97290.37</v>
      </c>
      <c r="AK27" s="83"/>
      <c r="AL27" s="222"/>
      <c r="AM27" s="392">
        <v>42025</v>
      </c>
      <c r="AN27" s="348">
        <v>12281.51</v>
      </c>
      <c r="AO27" s="146">
        <v>959.18362399999944</v>
      </c>
      <c r="AP27" s="147">
        <v>224</v>
      </c>
      <c r="AQ27" s="59">
        <v>42025</v>
      </c>
      <c r="AR27" s="180">
        <v>12281.51</v>
      </c>
      <c r="AS27" s="61">
        <f t="shared" si="11"/>
        <v>1</v>
      </c>
      <c r="AT27" s="185">
        <f t="shared" si="12"/>
        <v>4</v>
      </c>
      <c r="AU27" s="404" t="s">
        <v>95</v>
      </c>
      <c r="AV27" s="366">
        <v>82201.149999999994</v>
      </c>
      <c r="AW27" s="346">
        <v>12594.820600000001</v>
      </c>
      <c r="AX27" s="347">
        <v>1187</v>
      </c>
      <c r="AY27" s="181" cm="1">
        <f t="array" ref="AY27:AY43">IFERROR(INDEX($AV$27:$AX$43,,_xlfn.XMATCH($AR$6,$AV$26:$AX$26)),"")</f>
        <v>82201.149999999994</v>
      </c>
      <c r="AZ27" s="68"/>
      <c r="BE27" s="55"/>
      <c r="BF27" s="55"/>
      <c r="BG27" s="55"/>
      <c r="BH27" s="55"/>
      <c r="BI27" s="55"/>
      <c r="BJ27" s="55"/>
      <c r="BT27" s="271"/>
      <c r="BU27" s="271"/>
      <c r="BV27" s="271"/>
      <c r="BW27" s="271"/>
      <c r="BX27" s="271"/>
      <c r="BY27" s="271"/>
    </row>
    <row r="28" spans="2:93" ht="15.75" thickBot="1" x14ac:dyDescent="0.3">
      <c r="B28" s="339" t="s">
        <v>3034</v>
      </c>
      <c r="C28" s="344">
        <v>264998.55</v>
      </c>
      <c r="D28" s="331">
        <v>264998.55</v>
      </c>
      <c r="E28" s="134">
        <f>AVERAGE(C28:C33)</f>
        <v>313587.46166666667</v>
      </c>
      <c r="F28" s="117" t="s">
        <v>3034</v>
      </c>
      <c r="G28" s="331">
        <v>-657.53850031999514</v>
      </c>
      <c r="H28" s="135">
        <f>GETPIVOTDATA("[Measures].[Sum of Profit]",$I$27)</f>
        <v>215023.39973715009</v>
      </c>
      <c r="I28" s="117" t="s">
        <v>53</v>
      </c>
      <c r="J28" s="331">
        <v>78645.775268599988</v>
      </c>
      <c r="K28" s="63"/>
      <c r="L28" s="63"/>
      <c r="M28" s="63"/>
      <c r="N28" s="63"/>
      <c r="O28" s="63"/>
      <c r="P28" s="63"/>
      <c r="Q28" s="65"/>
      <c r="R28" s="89"/>
      <c r="S28" s="90"/>
      <c r="T28" s="91"/>
      <c r="U28" s="222" t="s">
        <v>35</v>
      </c>
      <c r="V28" s="360">
        <v>9689.58</v>
      </c>
      <c r="W28" s="353">
        <v>9376.7114499999989</v>
      </c>
      <c r="X28" s="353">
        <v>263.61</v>
      </c>
      <c r="Y28" s="355">
        <v>-529.91494999999998</v>
      </c>
      <c r="Z28" s="78"/>
      <c r="AA28" s="158" t="str">
        <f t="shared" si="0"/>
        <v>Mississippi</v>
      </c>
      <c r="AB28" s="168">
        <v>9689.58</v>
      </c>
      <c r="AC28" s="144">
        <f t="shared" si="16"/>
        <v>1</v>
      </c>
      <c r="AD28" s="179" t="s">
        <v>34</v>
      </c>
      <c r="AE28" s="146" t="s">
        <v>49</v>
      </c>
      <c r="AF28" s="180">
        <f>IFERROR(GETPIVOTDATA("[Measures].[Sum of Cumulative cost]",$AD$5,"[Table_1].[Product Category]","[Table_1].[Product Category].&amp;[Office Supplies]","[Table_1].[Region]","[Table_1].[Region].&amp;[South]"),"")</f>
        <v>108121.61715319999</v>
      </c>
      <c r="AG28" s="180">
        <f>IFERROR(GETPIVOTDATA("[Measures].[Sum of Shipping Cost]",$AD$5,"[Table_1].[Product Category]","[Table_1].[Product Category].&amp;[Office Supplies]","[Table_1].[Region]","[Table_1].[Region].&amp;[South]"),"")</f>
        <v>1897.34</v>
      </c>
      <c r="AH28" s="180">
        <f>IFERROR(GETPIVOTDATA("[Measures].[Sum of Discount]",$AD$5,"[Table_1].[Product Category]","[Table_1].[Product Category].&amp;[Office Supplies]","[Table_1].[Region]","[Table_1].[Region].&amp;[South]"),"")</f>
        <v>11.74999999999998</v>
      </c>
      <c r="AI28" s="180">
        <f>IFERROR(GETPIVOTDATA("[Measures].[Sum of Profit]",$AD$5,"[Table_1].[Product Category]","[Table_1].[Product Category].&amp;[Office Supplies]","[Table_1].[Region]","[Table_1].[Region].&amp;[South]"),"")</f>
        <v>-2119.4586532000021</v>
      </c>
      <c r="AJ28" s="181">
        <f>IFERROR(GETPIVOTDATA("[Measures].[Sum of Sales]",$AD$5,"[Table_1].[Product Category]","[Table_1].[Product Category].&amp;[Office Supplies]","[Table_1].[Region]","[Table_1].[Region].&amp;[South]"),"")</f>
        <v>112566.34</v>
      </c>
      <c r="AK28" s="83"/>
      <c r="AL28" s="222"/>
      <c r="AM28" s="392">
        <v>42026</v>
      </c>
      <c r="AN28" s="348">
        <v>13513.64</v>
      </c>
      <c r="AO28" s="146">
        <v>4737.4732800000011</v>
      </c>
      <c r="AP28" s="147">
        <v>104</v>
      </c>
      <c r="AQ28" s="59">
        <v>42026</v>
      </c>
      <c r="AR28" s="180">
        <v>13513.64</v>
      </c>
      <c r="AS28" s="61">
        <f t="shared" si="11"/>
        <v>1</v>
      </c>
      <c r="AT28" s="185">
        <f t="shared" si="12"/>
        <v>4</v>
      </c>
      <c r="AU28" s="405" t="s">
        <v>72</v>
      </c>
      <c r="AV28" s="398">
        <v>185928.14</v>
      </c>
      <c r="AW28" s="399">
        <v>59296.389429999988</v>
      </c>
      <c r="AX28" s="400">
        <v>2554</v>
      </c>
      <c r="AY28" s="181">
        <v>185928.14</v>
      </c>
      <c r="AZ28" s="68"/>
      <c r="BB28" s="112" t="s">
        <v>3022</v>
      </c>
      <c r="BE28" s="55"/>
      <c r="BF28" s="55"/>
      <c r="BG28" s="55"/>
      <c r="BH28" s="55"/>
      <c r="BI28" s="55"/>
      <c r="BJ28" s="55"/>
      <c r="BT28" s="271"/>
      <c r="BU28" s="271"/>
      <c r="BV28" s="271"/>
      <c r="BW28" s="271"/>
      <c r="BX28" s="271"/>
      <c r="BY28" s="271"/>
      <c r="CI28" s="103"/>
      <c r="CJ28" s="298" t="s">
        <v>3100</v>
      </c>
      <c r="CK28" s="293"/>
      <c r="CL28" s="297"/>
      <c r="CM28" s="276" t="s">
        <v>3053</v>
      </c>
      <c r="CN28" s="279" t="str">
        <f>CHOOSE(Distribution!AH8,"Sales", "Profit")</f>
        <v>Profit</v>
      </c>
      <c r="CO28" s="280"/>
    </row>
    <row r="29" spans="2:93" ht="15.75" thickBot="1" x14ac:dyDescent="0.3">
      <c r="B29" s="340" t="s">
        <v>3044</v>
      </c>
      <c r="C29" s="134">
        <v>325502.44</v>
      </c>
      <c r="D29" s="330">
        <v>325502.44</v>
      </c>
      <c r="E29" s="118"/>
      <c r="F29" s="119" t="s">
        <v>3044</v>
      </c>
      <c r="G29" s="330">
        <v>36266.168780320018</v>
      </c>
      <c r="H29" s="118"/>
      <c r="I29" s="119" t="s">
        <v>111</v>
      </c>
      <c r="J29" s="330">
        <v>85577.445845999988</v>
      </c>
      <c r="K29" s="63"/>
      <c r="L29" s="63"/>
      <c r="M29" s="63"/>
      <c r="N29" s="63"/>
      <c r="O29" s="63"/>
      <c r="P29" s="63"/>
      <c r="Q29" s="65"/>
      <c r="R29" s="89"/>
      <c r="S29" s="90"/>
      <c r="T29" s="91"/>
      <c r="U29" s="222" t="s">
        <v>80</v>
      </c>
      <c r="V29" s="360">
        <v>10903.08</v>
      </c>
      <c r="W29" s="353">
        <v>7873.8834000000006</v>
      </c>
      <c r="X29" s="353">
        <v>284.70999999999998</v>
      </c>
      <c r="Y29" s="355">
        <v>2123.2119000000002</v>
      </c>
      <c r="Z29" s="78"/>
      <c r="AA29" s="158" t="str">
        <f t="shared" si="0"/>
        <v>Missouri</v>
      </c>
      <c r="AB29" s="168">
        <v>10903.08</v>
      </c>
      <c r="AC29" s="144">
        <f t="shared" si="16"/>
        <v>1</v>
      </c>
      <c r="AD29" s="179" t="s">
        <v>34</v>
      </c>
      <c r="AE29" s="146" t="s">
        <v>41</v>
      </c>
      <c r="AF29" s="180">
        <f>IFERROR(GETPIVOTDATA("[Measures].[Sum of Cumulative cost]",$AD$5,"[Table_1].[Product Category]","[Table_1].[Product Category].&amp;[Technology]","[Table_1].[Region]","[Table_1].[Region].&amp;[South]"),"")</f>
        <v>137240.41917999997</v>
      </c>
      <c r="AG29" s="180">
        <f>IFERROR(GETPIVOTDATA("[Measures].[Sum of Shipping Cost]",$AD$5,"[Table_1].[Product Category]","[Table_1].[Product Category].&amp;[Technology]","[Table_1].[Region]","[Table_1].[Region].&amp;[South]"),"")</f>
        <v>957.5</v>
      </c>
      <c r="AH29" s="180">
        <f>IFERROR(GETPIVOTDATA("[Measures].[Sum of Discount]",$AD$5,"[Table_1].[Product Category]","[Table_1].[Product Category].&amp;[Technology]","[Table_1].[Region]","[Table_1].[Region].&amp;[South]"),"")</f>
        <v>5.6299999999999937</v>
      </c>
      <c r="AI29" s="180">
        <f>IFERROR(GETPIVOTDATA("[Measures].[Sum of Profit]",$AD$5,"[Table_1].[Product Category]","[Table_1].[Product Category].&amp;[Technology]","[Table_1].[Region]","[Table_1].[Region].&amp;[South]"),"")</f>
        <v>-13449.778180000001</v>
      </c>
      <c r="AJ29" s="181">
        <f>IFERROR(GETPIVOTDATA("[Measures].[Sum of Sales]",$AD$5,"[Table_1].[Product Category]","[Table_1].[Product Category].&amp;[Technology]","[Table_1].[Region]","[Table_1].[Region].&amp;[South]"),"")</f>
        <v>131471.60999999999</v>
      </c>
      <c r="AK29" s="83"/>
      <c r="AL29" s="222"/>
      <c r="AM29" s="392">
        <v>42027</v>
      </c>
      <c r="AN29" s="348">
        <v>765.9</v>
      </c>
      <c r="AO29" s="146">
        <v>-181.04519999999999</v>
      </c>
      <c r="AP29" s="147">
        <v>21</v>
      </c>
      <c r="AQ29" s="59">
        <v>42027</v>
      </c>
      <c r="AR29" s="180">
        <v>765.9</v>
      </c>
      <c r="AS29" s="61">
        <f t="shared" si="11"/>
        <v>1</v>
      </c>
      <c r="AT29" s="185">
        <f t="shared" si="12"/>
        <v>4</v>
      </c>
      <c r="AU29" s="405" t="s">
        <v>117</v>
      </c>
      <c r="AV29" s="398">
        <v>107796.09</v>
      </c>
      <c r="AW29" s="399">
        <v>-930.43840000000046</v>
      </c>
      <c r="AX29" s="400">
        <v>536</v>
      </c>
      <c r="AY29" s="181">
        <v>107796.09</v>
      </c>
      <c r="AZ29" s="68"/>
      <c r="BB29" s="112" t="s">
        <v>3023</v>
      </c>
      <c r="BE29" s="55"/>
      <c r="BF29" s="55"/>
      <c r="BG29" s="55"/>
      <c r="BH29" s="55"/>
      <c r="BI29" s="55"/>
      <c r="BJ29" s="55"/>
      <c r="BT29" s="271"/>
      <c r="BU29" s="271"/>
      <c r="BV29" s="271"/>
      <c r="BW29" s="271"/>
      <c r="BX29" s="271"/>
      <c r="BY29" s="271"/>
      <c r="CI29" s="103"/>
      <c r="CJ29" s="314" t="s">
        <v>3104</v>
      </c>
      <c r="CK29" s="312" t="s">
        <v>22</v>
      </c>
      <c r="CL29" s="318" t="s">
        <v>3016</v>
      </c>
      <c r="CM29" s="299" t="s">
        <v>11</v>
      </c>
      <c r="CN29" s="275" t="str">
        <f>CN28</f>
        <v>Profit</v>
      </c>
      <c r="CO29" s="282" t="s">
        <v>3016</v>
      </c>
    </row>
    <row r="30" spans="2:93" x14ac:dyDescent="0.25">
      <c r="B30" s="340" t="s">
        <v>3045</v>
      </c>
      <c r="C30" s="134">
        <v>265167.13</v>
      </c>
      <c r="D30" s="330">
        <v>265167.13</v>
      </c>
      <c r="E30" s="118"/>
      <c r="F30" s="119" t="s">
        <v>3045</v>
      </c>
      <c r="G30" s="330">
        <v>1881.8305867500003</v>
      </c>
      <c r="H30" s="118"/>
      <c r="I30" s="119" t="s">
        <v>34</v>
      </c>
      <c r="J30" s="330">
        <v>-17431.355779449979</v>
      </c>
      <c r="K30" s="63"/>
      <c r="L30" s="63"/>
      <c r="M30" s="63"/>
      <c r="N30" s="63"/>
      <c r="O30" s="63"/>
      <c r="P30" s="63"/>
      <c r="Q30" s="65"/>
      <c r="R30" s="89"/>
      <c r="S30" s="90"/>
      <c r="T30" s="91"/>
      <c r="U30" s="222" t="s">
        <v>277</v>
      </c>
      <c r="V30" s="360">
        <v>12593.59</v>
      </c>
      <c r="W30" s="353">
        <v>25609.161688000004</v>
      </c>
      <c r="X30" s="353">
        <v>175.9</v>
      </c>
      <c r="Y30" s="355">
        <v>-13759.205488000001</v>
      </c>
      <c r="Z30" s="78"/>
      <c r="AA30" s="158" t="str">
        <f t="shared" si="0"/>
        <v>Montana</v>
      </c>
      <c r="AB30" s="168">
        <v>12593.59</v>
      </c>
      <c r="AC30" s="144">
        <f t="shared" si="16"/>
        <v>1</v>
      </c>
      <c r="AD30" s="179" t="s">
        <v>60</v>
      </c>
      <c r="AE30" s="146" t="s">
        <v>29</v>
      </c>
      <c r="AF30" s="180">
        <f>IFERROR(GETPIVOTDATA("[Measures].[Sum of Cumulative cost]",$AD$5,"[Table_1].[Product Category]","[Table_1].[Product Category].&amp;[Furniture]","[Table_1].[Region]","[Table_1].[Region].&amp;[West]"),"")</f>
        <v>127078.66102000001</v>
      </c>
      <c r="AG30" s="180">
        <f>IFERROR(GETPIVOTDATA("[Measures].[Sum of Shipping Cost]",$AD$5,"[Table_1].[Product Category]","[Table_1].[Product Category].&amp;[Furniture]","[Table_1].[Region]","[Table_1].[Region].&amp;[West]"),"")</f>
        <v>2702.04</v>
      </c>
      <c r="AH30" s="180">
        <f>IFERROR(GETPIVOTDATA("[Measures].[Sum of Discount]",$AD$5,"[Table_1].[Product Category]","[Table_1].[Product Category].&amp;[Furniture]","[Table_1].[Region]","[Table_1].[Region].&amp;[West]"),"")</f>
        <v>4.2399999999999984</v>
      </c>
      <c r="AI30" s="180">
        <f>IFERROR(GETPIVOTDATA("[Measures].[Sum of Profit]",$AD$5,"[Table_1].[Product Category]","[Table_1].[Product Category].&amp;[Furniture]","[Table_1].[Region]","[Table_1].[Region].&amp;[West]"),"")</f>
        <v>45999.542280000001</v>
      </c>
      <c r="AJ30" s="181">
        <f>IFERROR(GETPIVOTDATA("[Measures].[Sum of Sales]",$AD$5,"[Table_1].[Product Category]","[Table_1].[Product Category].&amp;[Furniture]","[Table_1].[Region]","[Table_1].[Region].&amp;[West]"),"")</f>
        <v>184155.86</v>
      </c>
      <c r="AK30" s="83"/>
      <c r="AL30" s="222"/>
      <c r="AM30" s="392">
        <v>42028</v>
      </c>
      <c r="AN30" s="348">
        <v>8376.58</v>
      </c>
      <c r="AO30" s="146">
        <v>729.50390000000004</v>
      </c>
      <c r="AP30" s="147">
        <v>123</v>
      </c>
      <c r="AQ30" s="59">
        <v>42028</v>
      </c>
      <c r="AR30" s="180">
        <v>8376.58</v>
      </c>
      <c r="AS30" s="61">
        <f t="shared" si="11"/>
        <v>1</v>
      </c>
      <c r="AT30" s="185">
        <f t="shared" si="12"/>
        <v>4</v>
      </c>
      <c r="AU30" s="405" t="s">
        <v>109</v>
      </c>
      <c r="AV30" s="398">
        <v>241200.42</v>
      </c>
      <c r="AW30" s="399">
        <v>39808.485999999997</v>
      </c>
      <c r="AX30" s="400">
        <v>1138</v>
      </c>
      <c r="AY30" s="181">
        <v>241200.42</v>
      </c>
      <c r="AZ30" s="68"/>
      <c r="BB30" s="112" t="s">
        <v>3039</v>
      </c>
      <c r="BE30" s="55"/>
      <c r="BF30" s="55"/>
      <c r="BG30" s="55"/>
      <c r="BH30" s="55"/>
      <c r="BI30" s="55"/>
      <c r="BJ30" s="55"/>
      <c r="BT30" s="271"/>
      <c r="BU30" s="271"/>
      <c r="BV30" s="271"/>
      <c r="BW30" s="271"/>
      <c r="BX30" s="271"/>
      <c r="BY30" s="271"/>
      <c r="CI30" s="103"/>
      <c r="CJ30" s="315" t="s">
        <v>100</v>
      </c>
      <c r="CK30" s="308">
        <v>154806.10999999999</v>
      </c>
      <c r="CL30" s="297">
        <v>1710</v>
      </c>
      <c r="CM30" s="288" t="str" cm="1">
        <f t="array" ref="CM30">IFERROR(_xlfn.IFS($CN$28="Sales",CJ30,$CN$28="Profit",CJ36),"")</f>
        <v>Los Angeles</v>
      </c>
      <c r="CN30" s="270" cm="1">
        <f t="array" ref="CN30">IFERROR(_xlfn.IFS($CN$28="Sales",CK30,$CN$28="Profit",CK36),"")</f>
        <v>7865.8371800000004</v>
      </c>
      <c r="CO30" s="300" cm="1">
        <f t="array" ref="CO30">IFERROR(_xlfn.IFS($CN$28="Sales",CL30,$CN$28="Profit",CL36),"")</f>
        <v>1710</v>
      </c>
    </row>
    <row r="31" spans="2:93" ht="15.75" thickBot="1" x14ac:dyDescent="0.3">
      <c r="B31" s="340" t="s">
        <v>3046</v>
      </c>
      <c r="C31" s="134">
        <v>384029.19</v>
      </c>
      <c r="D31" s="330">
        <v>384029.19</v>
      </c>
      <c r="E31" s="118" t="s">
        <v>3037</v>
      </c>
      <c r="F31" s="119" t="s">
        <v>3046</v>
      </c>
      <c r="G31" s="330">
        <v>50182.103101999965</v>
      </c>
      <c r="H31" s="118"/>
      <c r="I31" s="129" t="s">
        <v>60</v>
      </c>
      <c r="J31" s="330">
        <v>68231.53440199999</v>
      </c>
      <c r="K31" s="63"/>
      <c r="L31" s="63"/>
      <c r="M31" s="63"/>
      <c r="N31" s="63"/>
      <c r="O31" s="63"/>
      <c r="P31" s="63"/>
      <c r="Q31" s="65"/>
      <c r="R31" s="89"/>
      <c r="S31" s="89"/>
      <c r="T31" s="92"/>
      <c r="U31" s="222" t="s">
        <v>133</v>
      </c>
      <c r="V31" s="360">
        <v>15764.51</v>
      </c>
      <c r="W31" s="353">
        <v>10010.948770000001</v>
      </c>
      <c r="X31" s="353">
        <v>390.81</v>
      </c>
      <c r="Y31" s="355">
        <v>4675.6003300000002</v>
      </c>
      <c r="Z31" s="78"/>
      <c r="AA31" s="158" t="str">
        <f t="shared" si="0"/>
        <v>Nebraska</v>
      </c>
      <c r="AB31" s="168">
        <v>15764.51</v>
      </c>
      <c r="AC31" s="144">
        <f t="shared" si="16"/>
        <v>1</v>
      </c>
      <c r="AD31" s="179" t="s">
        <v>60</v>
      </c>
      <c r="AE31" s="146" t="s">
        <v>49</v>
      </c>
      <c r="AF31" s="180">
        <f>IFERROR(GETPIVOTDATA("[Measures].[Sum of Cumulative cost]",$AD$5,"[Table_1].[Product Category]","[Table_1].[Product Category].&amp;[Office Supplies]","[Table_1].[Region]","[Table_1].[Region].&amp;[West]"),"")</f>
        <v>91882.323870000007</v>
      </c>
      <c r="AG31" s="180">
        <f>IFERROR(GETPIVOTDATA("[Measures].[Sum of Shipping Cost]",$AD$5,"[Table_1].[Product Category]","[Table_1].[Product Category].&amp;[Office Supplies]","[Table_1].[Region]","[Table_1].[Region].&amp;[West]"),"")</f>
        <v>1813.46</v>
      </c>
      <c r="AH31" s="180">
        <f>IFERROR(GETPIVOTDATA("[Measures].[Sum of Discount]",$AD$5,"[Table_1].[Product Category]","[Table_1].[Product Category].&amp;[Office Supplies]","[Table_1].[Region]","[Table_1].[Region].&amp;[West]"),"")</f>
        <v>12.259999999999987</v>
      </c>
      <c r="AI31" s="180">
        <f>IFERROR(GETPIVOTDATA("[Measures].[Sum of Profit]",$AD$5,"[Table_1].[Product Category]","[Table_1].[Product Category].&amp;[Office Supplies]","[Table_1].[Region]","[Table_1].[Region].&amp;[West]"),"")</f>
        <v>12136.81913</v>
      </c>
      <c r="AJ31" s="181">
        <f>IFERROR(GETPIVOTDATA("[Measures].[Sum of Sales]",$AD$5,"[Table_1].[Product Category]","[Table_1].[Product Category].&amp;[Office Supplies]","[Table_1].[Region]","[Table_1].[Region].&amp;[West]"),"")</f>
        <v>111003.26</v>
      </c>
      <c r="AK31" s="83"/>
      <c r="AL31" s="222"/>
      <c r="AM31" s="392">
        <v>42029</v>
      </c>
      <c r="AN31" s="348">
        <v>445.25</v>
      </c>
      <c r="AO31" s="146">
        <v>-12.061199999999999</v>
      </c>
      <c r="AP31" s="147">
        <v>8</v>
      </c>
      <c r="AQ31" s="59">
        <v>42029</v>
      </c>
      <c r="AR31" s="180">
        <v>445.25</v>
      </c>
      <c r="AS31" s="61">
        <f t="shared" si="11"/>
        <v>1</v>
      </c>
      <c r="AT31" s="185">
        <f t="shared" si="12"/>
        <v>5</v>
      </c>
      <c r="AU31" s="405" t="s">
        <v>42</v>
      </c>
      <c r="AV31" s="398">
        <v>96261.3</v>
      </c>
      <c r="AW31" s="399">
        <v>1698.043979999999</v>
      </c>
      <c r="AX31" s="400">
        <v>2481</v>
      </c>
      <c r="AY31" s="181">
        <v>96261.3</v>
      </c>
      <c r="AZ31" s="68"/>
      <c r="BB31" s="112" t="s">
        <v>3072</v>
      </c>
      <c r="BE31" s="55"/>
      <c r="BF31" s="55"/>
      <c r="BG31" s="55"/>
      <c r="BH31" s="55"/>
      <c r="BI31" s="55"/>
      <c r="BJ31" s="55"/>
      <c r="BT31" s="271"/>
      <c r="BU31" s="271"/>
      <c r="BV31" s="271"/>
      <c r="BW31" s="271"/>
      <c r="BX31" s="271"/>
      <c r="BY31" s="271"/>
      <c r="CI31" s="103"/>
      <c r="CJ31" s="316" t="s">
        <v>113</v>
      </c>
      <c r="CK31" s="309">
        <v>145010.54</v>
      </c>
      <c r="CL31" s="296">
        <v>1642</v>
      </c>
      <c r="CM31" s="288" t="str" cm="1">
        <f t="array" ref="CM31">IFERROR(_xlfn.IFS($CN$28="Sales",CJ31,$CN$28="Profit",CJ37),"")</f>
        <v>New York City</v>
      </c>
      <c r="CN31" s="270" cm="1">
        <f t="array" ref="CN31">IFERROR(_xlfn.IFS($CN$28="Sales",CK31,$CN$28="Profit",CK37),"")</f>
        <v>4928.1599800000004</v>
      </c>
      <c r="CO31" s="300" cm="1">
        <f t="array" ref="CO31">IFERROR(_xlfn.IFS($CN$28="Sales",CL31,$CN$28="Profit",CL37),"")</f>
        <v>1642</v>
      </c>
    </row>
    <row r="32" spans="2:93" ht="15.75" thickBot="1" x14ac:dyDescent="0.3">
      <c r="B32" s="340" t="s">
        <v>3047</v>
      </c>
      <c r="C32" s="134">
        <v>290230.84999999998</v>
      </c>
      <c r="D32" s="330">
        <v>290230.84999999998</v>
      </c>
      <c r="E32" s="135">
        <f>GETPIVOTDATA("[Measures].[Sum of Profit]",$F$27)</f>
        <v>215023.39973715009</v>
      </c>
      <c r="F32" s="119" t="s">
        <v>3047</v>
      </c>
      <c r="G32" s="330">
        <v>61026.94915840005</v>
      </c>
      <c r="H32" s="136"/>
      <c r="I32" s="332" t="s">
        <v>3015</v>
      </c>
      <c r="J32" s="325">
        <v>215023.39973715009</v>
      </c>
      <c r="K32" s="63"/>
      <c r="L32" s="63"/>
      <c r="M32" s="63"/>
      <c r="N32" s="63"/>
      <c r="O32" s="63"/>
      <c r="P32" s="63"/>
      <c r="Q32" s="65"/>
      <c r="R32" s="89"/>
      <c r="S32" s="89"/>
      <c r="T32" s="92"/>
      <c r="U32" s="222" t="s">
        <v>296</v>
      </c>
      <c r="V32" s="360">
        <v>8864.5400000000009</v>
      </c>
      <c r="W32" s="353">
        <v>4598.3680040000008</v>
      </c>
      <c r="X32" s="353">
        <v>134.26</v>
      </c>
      <c r="Y32" s="355">
        <v>3788.8289959999997</v>
      </c>
      <c r="Z32" s="78"/>
      <c r="AA32" s="158" t="str">
        <f t="shared" si="0"/>
        <v>Nevada</v>
      </c>
      <c r="AB32" s="168">
        <v>8864.5400000000009</v>
      </c>
      <c r="AC32" s="144">
        <f t="shared" si="16"/>
        <v>1</v>
      </c>
      <c r="AD32" s="179" t="s">
        <v>60</v>
      </c>
      <c r="AE32" s="146" t="s">
        <v>41</v>
      </c>
      <c r="AF32" s="180">
        <f>IFERROR(GETPIVOTDATA("[Measures].[Sum of Cumulative cost]",$AD$5,"[Table_1].[Product Category]","[Table_1].[Product Category].&amp;[Technology]","[Table_1].[Region]","[Table_1].[Region].&amp;[West]"),"")</f>
        <v>195112.64050799998</v>
      </c>
      <c r="AG32" s="180">
        <f>IFERROR(GETPIVOTDATA("[Measures].[Sum of Shipping Cost]",$AD$5,"[Table_1].[Product Category]","[Table_1].[Product Category].&amp;[Technology]","[Table_1].[Region]","[Table_1].[Region].&amp;[West]"),"")</f>
        <v>1325.44</v>
      </c>
      <c r="AH32" s="180">
        <f>IFERROR(GETPIVOTDATA("[Measures].[Sum of Discount]",$AD$5,"[Table_1].[Product Category]","[Table_1].[Product Category].&amp;[Technology]","[Table_1].[Region]","[Table_1].[Region].&amp;[West]"),"")</f>
        <v>5.7099999999999937</v>
      </c>
      <c r="AI32" s="180">
        <f>IFERROR(GETPIVOTDATA("[Measures].[Sum of Profit]",$AD$5,"[Table_1].[Product Category]","[Table_1].[Product Category].&amp;[Technology]","[Table_1].[Region]","[Table_1].[Region].&amp;[West]"),"")</f>
        <v>10095.172992000003</v>
      </c>
      <c r="AJ32" s="181">
        <f>IFERROR(GETPIVOTDATA("[Measures].[Sum of Sales]",$AD$5,"[Table_1].[Product Category]","[Table_1].[Product Category].&amp;[Technology]","[Table_1].[Region]","[Table_1].[Region].&amp;[West]"),"")</f>
        <v>218867.52</v>
      </c>
      <c r="AK32" s="83"/>
      <c r="AL32" s="222"/>
      <c r="AM32" s="392">
        <v>42030</v>
      </c>
      <c r="AN32" s="348">
        <v>7035.73</v>
      </c>
      <c r="AO32" s="146">
        <v>-1561.5387000000005</v>
      </c>
      <c r="AP32" s="147">
        <v>134</v>
      </c>
      <c r="AQ32" s="59">
        <v>42030</v>
      </c>
      <c r="AR32" s="180">
        <v>7035.73</v>
      </c>
      <c r="AS32" s="61">
        <f t="shared" si="11"/>
        <v>1</v>
      </c>
      <c r="AT32" s="185">
        <f t="shared" si="12"/>
        <v>5</v>
      </c>
      <c r="AU32" s="405" t="s">
        <v>64</v>
      </c>
      <c r="AV32" s="398">
        <v>99069.48</v>
      </c>
      <c r="AW32" s="399">
        <v>23990.207579999998</v>
      </c>
      <c r="AX32" s="400">
        <v>181</v>
      </c>
      <c r="AY32" s="181">
        <v>99069.48</v>
      </c>
      <c r="AZ32" s="68"/>
      <c r="BB32" s="112" t="s">
        <v>3071</v>
      </c>
      <c r="BE32" s="55"/>
      <c r="BF32" s="55"/>
      <c r="BG32" s="55"/>
      <c r="BH32" s="55"/>
      <c r="BI32" s="55"/>
      <c r="BJ32" s="55"/>
      <c r="BT32" s="271"/>
      <c r="BU32" s="271"/>
      <c r="BV32" s="271"/>
      <c r="BW32" s="271"/>
      <c r="BX32" s="271"/>
      <c r="BY32" s="271"/>
      <c r="CI32" s="103"/>
      <c r="CJ32" s="317" t="s">
        <v>67</v>
      </c>
      <c r="CK32" s="310">
        <v>68946.66</v>
      </c>
      <c r="CL32" s="412">
        <v>600</v>
      </c>
      <c r="CM32" s="288" t="str" cm="1">
        <f t="array" ref="CM32">IFERROR(_xlfn.IFS($CN$28="Sales",CJ32,$CN$28="Profit",CJ38),"")</f>
        <v>Washington</v>
      </c>
      <c r="CN32" s="270" cm="1">
        <f t="array" ref="CN32">IFERROR(_xlfn.IFS($CN$28="Sales",CK32,$CN$28="Profit",CK38),"")</f>
        <v>11677.363099999999</v>
      </c>
      <c r="CO32" s="300" cm="1">
        <f t="array" ref="CO32">IFERROR(_xlfn.IFS($CN$28="Sales",CL32,$CN$28="Profit",CL38),"")</f>
        <v>600</v>
      </c>
    </row>
    <row r="33" spans="1:93" ht="15.75" thickBot="1" x14ac:dyDescent="0.3">
      <c r="B33" s="341" t="s">
        <v>3048</v>
      </c>
      <c r="C33" s="134">
        <v>351596.61</v>
      </c>
      <c r="D33" s="330">
        <v>351596.61</v>
      </c>
      <c r="E33" s="118"/>
      <c r="F33" s="129" t="s">
        <v>3048</v>
      </c>
      <c r="G33" s="330">
        <v>66323.886610000001</v>
      </c>
      <c r="H33" s="63"/>
      <c r="I33" s="63"/>
      <c r="J33" s="63"/>
      <c r="K33" s="63"/>
      <c r="L33" s="63"/>
      <c r="M33" s="63"/>
      <c r="N33" s="63"/>
      <c r="O33" s="63"/>
      <c r="P33" s="63"/>
      <c r="Q33" s="65"/>
      <c r="R33" s="89"/>
      <c r="S33" s="89"/>
      <c r="T33" s="92"/>
      <c r="U33" s="222" t="s">
        <v>1356</v>
      </c>
      <c r="V33" s="360">
        <v>7619.7</v>
      </c>
      <c r="W33" s="353">
        <v>3386.4947000000002</v>
      </c>
      <c r="X33" s="353">
        <v>144.16</v>
      </c>
      <c r="Y33" s="355">
        <v>3611.0573999999997</v>
      </c>
      <c r="Z33" s="78"/>
      <c r="AA33" s="158" t="str">
        <f t="shared" si="0"/>
        <v>New Hampshire</v>
      </c>
      <c r="AB33" s="168">
        <v>7619.7</v>
      </c>
      <c r="AC33" s="144">
        <f t="shared" si="16"/>
        <v>1</v>
      </c>
      <c r="AD33" s="145"/>
      <c r="AE33" s="146"/>
      <c r="AF33" s="180" t="s">
        <v>3020</v>
      </c>
      <c r="AG33" s="180" t="s">
        <v>5</v>
      </c>
      <c r="AH33" s="180" t="s">
        <v>3</v>
      </c>
      <c r="AI33" s="180" t="s">
        <v>20</v>
      </c>
      <c r="AJ33" s="144"/>
      <c r="AL33" s="222"/>
      <c r="AM33" s="392">
        <v>42031</v>
      </c>
      <c r="AN33" s="348">
        <v>4036.39</v>
      </c>
      <c r="AO33" s="146">
        <v>4441.4325399999998</v>
      </c>
      <c r="AP33" s="147">
        <v>196</v>
      </c>
      <c r="AQ33" s="59">
        <v>42031</v>
      </c>
      <c r="AR33" s="180">
        <v>4036.39</v>
      </c>
      <c r="AS33" s="61">
        <f t="shared" si="11"/>
        <v>1</v>
      </c>
      <c r="AT33" s="185">
        <f t="shared" si="12"/>
        <v>5</v>
      </c>
      <c r="AU33" s="405" t="s">
        <v>345</v>
      </c>
      <c r="AV33" s="398">
        <v>10479.77</v>
      </c>
      <c r="AW33" s="399">
        <v>-1194.4125000000008</v>
      </c>
      <c r="AX33" s="400">
        <v>590</v>
      </c>
      <c r="AY33" s="181">
        <v>10479.77</v>
      </c>
      <c r="AZ33" s="68"/>
      <c r="BE33" s="55"/>
      <c r="BF33" s="55"/>
      <c r="BG33" s="55"/>
      <c r="BH33" s="55"/>
      <c r="BI33" s="55"/>
      <c r="BJ33" s="55"/>
      <c r="BT33" s="271"/>
      <c r="BU33" s="271"/>
      <c r="BV33" s="271"/>
      <c r="BW33" s="271"/>
      <c r="BX33" s="271"/>
      <c r="BY33" s="271"/>
      <c r="CJ33" s="288"/>
      <c r="CL33" s="287"/>
      <c r="CM33" s="288"/>
      <c r="CO33" s="287"/>
    </row>
    <row r="34" spans="1:93" ht="15.75" thickBot="1" x14ac:dyDescent="0.3">
      <c r="B34" s="342" t="s">
        <v>3015</v>
      </c>
      <c r="C34" s="324">
        <v>1881524.77</v>
      </c>
      <c r="D34" s="325">
        <v>1881524.77</v>
      </c>
      <c r="E34" s="136"/>
      <c r="F34" s="332" t="s">
        <v>3015</v>
      </c>
      <c r="G34" s="325">
        <v>215023.39973715009</v>
      </c>
      <c r="H34" s="63"/>
      <c r="I34" s="63"/>
      <c r="J34" s="63"/>
      <c r="K34" s="63"/>
      <c r="L34" s="63"/>
      <c r="M34" s="63"/>
      <c r="N34" s="63"/>
      <c r="O34" s="63"/>
      <c r="P34" s="63"/>
      <c r="Q34" s="65"/>
      <c r="R34" s="89"/>
      <c r="S34" s="89"/>
      <c r="T34" s="92"/>
      <c r="U34" s="222" t="s">
        <v>397</v>
      </c>
      <c r="V34" s="360">
        <v>21943.91</v>
      </c>
      <c r="W34" s="353">
        <v>19284.279712</v>
      </c>
      <c r="X34" s="353">
        <v>404.49</v>
      </c>
      <c r="Y34" s="355">
        <v>770.9086880000001</v>
      </c>
      <c r="Z34" s="78"/>
      <c r="AA34" s="158" t="str">
        <f t="shared" si="0"/>
        <v>New Jersey</v>
      </c>
      <c r="AB34" s="168">
        <v>21943.91</v>
      </c>
      <c r="AC34" s="144">
        <f t="shared" si="16"/>
        <v>1</v>
      </c>
      <c r="AD34" s="145"/>
      <c r="AE34" s="146" t="s">
        <v>29</v>
      </c>
      <c r="AF34" s="180" cm="1">
        <f t="array" ref="AF34">IFERROR(_xlfn.IFS($AE$20=AD21,AF21,$AE$20=AD24,AF24,$AE$20=AD27,AF27,$AE$20=AD30,AF30),"")</f>
        <v>131268.74200539998</v>
      </c>
      <c r="AG34" s="180" cm="1">
        <f t="array" ref="AG34">IFERROR(_xlfn.IFS($AE$20=AD21,AG21,$AE$20=AD24,AG24,$AE$20=AD27,AG27,$AE$20=AD30,AG30),"")</f>
        <v>3295</v>
      </c>
      <c r="AH34" s="180" cm="1">
        <f t="array" ref="AH34">IFERROR(_xlfn.IFS($AE$20=AD21,AH21,$AE$20=AD24,AH24,$AE$20=AD27,AH27,$AE$20=AD30,AH30),"")</f>
        <v>5.8499999999999943</v>
      </c>
      <c r="AI34" s="180" cm="1">
        <f t="array" ref="AI34">IFERROR(_xlfn.IFS($AE$20=AD21,AI21,$AE$20=AD24,AI24,$AE$20=AD27,AI27,$AE$20=AD30,AI30),"")</f>
        <v>6301.754294600003</v>
      </c>
      <c r="AJ34" s="181" cm="1">
        <f t="array" ref="AJ34">IFERROR(_xlfn.IFS($AE$20=AD21,AJ21,$AE$20=AD24,AJ24,$AE$20=AD27,AJ27,$AE$20=AD30,AJ30),"")</f>
        <v>148455.14000000001</v>
      </c>
      <c r="AK34" s="83"/>
      <c r="AL34" s="222"/>
      <c r="AM34" s="392">
        <v>42032</v>
      </c>
      <c r="AN34" s="348">
        <v>6617.65</v>
      </c>
      <c r="AO34" s="146">
        <v>-9411.1713799999998</v>
      </c>
      <c r="AP34" s="147">
        <v>92</v>
      </c>
      <c r="AQ34" s="59">
        <v>42032</v>
      </c>
      <c r="AR34" s="180">
        <v>6617.65</v>
      </c>
      <c r="AS34" s="61">
        <f t="shared" si="11"/>
        <v>1</v>
      </c>
      <c r="AT34" s="185">
        <f t="shared" si="12"/>
        <v>5</v>
      </c>
      <c r="AU34" s="405" t="s">
        <v>152</v>
      </c>
      <c r="AV34" s="398">
        <v>4914.82</v>
      </c>
      <c r="AW34" s="399">
        <v>7028.1595000000016</v>
      </c>
      <c r="AX34" s="400">
        <v>903</v>
      </c>
      <c r="AY34" s="181">
        <v>4914.82</v>
      </c>
      <c r="AZ34" s="68"/>
      <c r="BE34" s="55"/>
      <c r="BF34" s="55"/>
      <c r="BG34" s="55"/>
      <c r="BH34" s="55"/>
      <c r="BI34" s="55"/>
      <c r="BJ34" s="55"/>
      <c r="BT34" s="271"/>
      <c r="BU34" s="271"/>
      <c r="BV34" s="271"/>
      <c r="BW34" s="271"/>
      <c r="BX34" s="271"/>
      <c r="BY34" s="271"/>
      <c r="CI34" s="103"/>
      <c r="CJ34" s="283" t="s">
        <v>3102</v>
      </c>
      <c r="CK34" s="281"/>
      <c r="CL34" s="296"/>
      <c r="CM34" s="288"/>
      <c r="CO34" s="287"/>
    </row>
    <row r="35" spans="1:93" ht="15.75" thickBot="1" x14ac:dyDescent="0.3">
      <c r="B35" s="68"/>
      <c r="C35" s="68"/>
      <c r="D35" s="68"/>
      <c r="E35" s="68"/>
      <c r="F35" s="68"/>
      <c r="G35" s="68"/>
      <c r="H35" s="93"/>
      <c r="I35" s="68"/>
      <c r="J35" s="68"/>
      <c r="K35" s="68"/>
      <c r="L35" s="68"/>
      <c r="M35" s="68"/>
      <c r="N35" s="68"/>
      <c r="O35" s="68"/>
      <c r="P35" s="68"/>
      <c r="Q35" s="67"/>
      <c r="R35" s="94"/>
      <c r="S35" s="94"/>
      <c r="T35" s="92"/>
      <c r="U35" s="222" t="s">
        <v>640</v>
      </c>
      <c r="V35" s="360">
        <v>5593.18</v>
      </c>
      <c r="W35" s="353">
        <v>925.6388199999999</v>
      </c>
      <c r="X35" s="353">
        <v>101.38</v>
      </c>
      <c r="Y35" s="355">
        <v>4215.9194799999996</v>
      </c>
      <c r="Z35" s="78"/>
      <c r="AA35" s="158" t="str">
        <f t="shared" si="0"/>
        <v>New Mexico</v>
      </c>
      <c r="AB35" s="168">
        <v>5593.18</v>
      </c>
      <c r="AC35" s="144">
        <f t="shared" si="16"/>
        <v>1</v>
      </c>
      <c r="AD35" s="145"/>
      <c r="AE35" s="146" t="s">
        <v>49</v>
      </c>
      <c r="AF35" s="180" cm="1">
        <f t="array" ref="AF35">IFERROR(_xlfn.IFS($AE$20=AD22,AF22,$AE$20=AD25,AF25,$AE$20=AD28,AF28,$AE$20=AD31,AF31),"")</f>
        <v>80084.997369999983</v>
      </c>
      <c r="AG35" s="180" cm="1">
        <f t="array" ref="AG35">IFERROR(_xlfn.IFS($AE$20=AD22,AG22,$AE$20=AD25,AG25,$AE$20=AD28,AG28,$AE$20=AD31,AG31),"")</f>
        <v>2496</v>
      </c>
      <c r="AH35" s="180" cm="1">
        <f t="array" ref="AH35">IFERROR(_xlfn.IFS($AE$20=AD22,AH22,$AE$20=AD25,AH25,$AE$20=AD28,AH28,$AE$20=AD31,AH31),"")</f>
        <v>15.109999999999983</v>
      </c>
      <c r="AI35" s="180" cm="1">
        <f t="array" ref="AI35">IFERROR(_xlfn.IFS($AE$20=AD22,AI22,$AE$20=AD25,AI25,$AE$20=AD28,AI28,$AE$20=AD31,AI31),"")</f>
        <v>28333.074329999999</v>
      </c>
      <c r="AJ35" s="181" cm="1">
        <f t="array" ref="AJ35">IFERROR(_xlfn.IFS($AE$20=AD22,AJ22,$AE$20=AD25,AJ25,$AE$20=AD28,AJ28,$AE$20=AD31,AJ31),"")</f>
        <v>115119.97</v>
      </c>
      <c r="AK35" s="83"/>
      <c r="AL35" s="222"/>
      <c r="AM35" s="392">
        <v>42033</v>
      </c>
      <c r="AN35" s="348">
        <v>11666.61</v>
      </c>
      <c r="AO35" s="146">
        <v>-1215.0591999999999</v>
      </c>
      <c r="AP35" s="147">
        <v>98</v>
      </c>
      <c r="AQ35" s="59">
        <v>42033</v>
      </c>
      <c r="AR35" s="180">
        <v>11666.61</v>
      </c>
      <c r="AS35" s="61">
        <f t="shared" si="11"/>
        <v>1</v>
      </c>
      <c r="AT35" s="185">
        <f t="shared" si="12"/>
        <v>5</v>
      </c>
      <c r="AU35" s="405" t="s">
        <v>126</v>
      </c>
      <c r="AV35" s="398">
        <v>98070.91</v>
      </c>
      <c r="AW35" s="399">
        <v>18724.1191</v>
      </c>
      <c r="AX35" s="400">
        <v>2356</v>
      </c>
      <c r="AY35" s="181">
        <v>98070.91</v>
      </c>
      <c r="AZ35" s="68"/>
      <c r="BE35" s="55"/>
      <c r="BF35" s="55"/>
      <c r="BG35" s="55"/>
      <c r="BH35" s="55"/>
      <c r="BI35" s="55"/>
      <c r="BJ35" s="55"/>
      <c r="BT35" s="271"/>
      <c r="BU35" s="271"/>
      <c r="BV35" s="271"/>
      <c r="BW35" s="271"/>
      <c r="BX35" s="271"/>
      <c r="BY35" s="271"/>
      <c r="CI35" s="269"/>
      <c r="CJ35" s="314" t="s">
        <v>3104</v>
      </c>
      <c r="CK35" s="312" t="s">
        <v>20</v>
      </c>
      <c r="CL35" s="318" t="s">
        <v>3016</v>
      </c>
      <c r="CM35" s="288"/>
      <c r="CO35" s="287"/>
    </row>
    <row r="36" spans="1:93" x14ac:dyDescent="0.25">
      <c r="B36" s="68"/>
      <c r="C36" s="68"/>
      <c r="D36" s="68"/>
      <c r="E36" s="68"/>
      <c r="F36" s="68"/>
      <c r="G36" s="68"/>
      <c r="H36" s="93"/>
      <c r="I36" s="68"/>
      <c r="J36" s="68"/>
      <c r="K36" s="68"/>
      <c r="L36" s="68"/>
      <c r="M36" s="68"/>
      <c r="N36" s="68"/>
      <c r="O36" s="68"/>
      <c r="P36" s="68"/>
      <c r="Q36" s="67"/>
      <c r="R36" s="94"/>
      <c r="S36" s="94"/>
      <c r="T36" s="92"/>
      <c r="U36" s="222" t="s">
        <v>112</v>
      </c>
      <c r="V36" s="360">
        <v>223930.48</v>
      </c>
      <c r="W36" s="353">
        <v>184662.40808139989</v>
      </c>
      <c r="X36" s="353">
        <v>1749.32</v>
      </c>
      <c r="Y36" s="355">
        <v>27611.943318600002</v>
      </c>
      <c r="Z36" s="78"/>
      <c r="AA36" s="158" t="str">
        <f t="shared" si="0"/>
        <v>New York</v>
      </c>
      <c r="AB36" s="168">
        <v>223930.48</v>
      </c>
      <c r="AC36" s="144">
        <f t="shared" si="16"/>
        <v>1</v>
      </c>
      <c r="AD36" s="145"/>
      <c r="AE36" s="146" t="s">
        <v>41</v>
      </c>
      <c r="AF36" s="180" cm="1">
        <f t="array" ref="AF36">IFERROR(_xlfn.IFS($AE$20=AD23,AF23,$AE$20=AD26,AF26,$AE$20=AD29,AF29,$AE$20=AD32,AF32),"")</f>
        <v>123747.83775599999</v>
      </c>
      <c r="AG36" s="180" cm="1">
        <f t="array" ref="AG36">IFERROR(_xlfn.IFS($AE$20=AD23,AG23,$AE$20=AD26,AG26,$AE$20=AD29,AG29,$AE$20=AD32,AG32),"")</f>
        <v>1229.6600000000001</v>
      </c>
      <c r="AH36" s="180" cm="1">
        <f t="array" ref="AH36">IFERROR(_xlfn.IFS($AE$20=AD23,AH23,$AE$20=AD26,AH26,$AE$20=AD29,AH29,$AE$20=AD32,AH32),"")</f>
        <v>6.4799999999999933</v>
      </c>
      <c r="AI36" s="180" cm="1">
        <f t="array" ref="AI36">IFERROR(_xlfn.IFS($AE$20=AD23,AI23,$AE$20=AD26,AI26,$AE$20=AD29,AI29,$AE$20=AD32,AI32),"")</f>
        <v>44010.946644000011</v>
      </c>
      <c r="AJ36" s="181" cm="1">
        <f t="array" ref="AJ36">IFERROR(_xlfn.IFS($AE$20=AD23,AJ23,$AE$20=AD26,AJ26,$AE$20=AD29,AJ29,$AE$20=AD32,AJ32),"")</f>
        <v>177870.51</v>
      </c>
      <c r="AK36" s="83"/>
      <c r="AL36" s="222"/>
      <c r="AM36" s="392">
        <v>42034</v>
      </c>
      <c r="AN36" s="348">
        <v>5276.23</v>
      </c>
      <c r="AO36" s="146">
        <v>3101.0900999999999</v>
      </c>
      <c r="AP36" s="147">
        <v>50</v>
      </c>
      <c r="AQ36" s="59">
        <v>42034</v>
      </c>
      <c r="AR36" s="180">
        <v>5276.23</v>
      </c>
      <c r="AS36" s="61">
        <f t="shared" si="11"/>
        <v>1</v>
      </c>
      <c r="AT36" s="185">
        <f t="shared" si="12"/>
        <v>5</v>
      </c>
      <c r="AU36" s="405" t="s">
        <v>57</v>
      </c>
      <c r="AV36" s="398">
        <v>318169.68</v>
      </c>
      <c r="AW36" s="399">
        <v>8824.3905639999939</v>
      </c>
      <c r="AX36" s="400">
        <v>898</v>
      </c>
      <c r="AY36" s="181">
        <v>318169.68</v>
      </c>
      <c r="AZ36" s="68"/>
      <c r="BE36" s="55"/>
      <c r="BF36" s="55"/>
      <c r="BG36" s="55"/>
      <c r="BH36" s="55"/>
      <c r="BI36" s="55"/>
      <c r="BJ36" s="55"/>
      <c r="BT36" s="271"/>
      <c r="BU36" s="271"/>
      <c r="BV36" s="271"/>
      <c r="BW36" s="271"/>
      <c r="BX36" s="271"/>
      <c r="BY36" s="271"/>
      <c r="CI36" s="103"/>
      <c r="CJ36" s="315" t="s">
        <v>100</v>
      </c>
      <c r="CK36" s="308">
        <v>7865.8371800000004</v>
      </c>
      <c r="CL36" s="297">
        <v>1710</v>
      </c>
      <c r="CM36" s="288"/>
      <c r="CO36" s="287"/>
    </row>
    <row r="37" spans="1:93" ht="15.75" thickBot="1" x14ac:dyDescent="0.3">
      <c r="B37" s="68"/>
      <c r="C37" s="68"/>
      <c r="D37" s="68"/>
      <c r="E37" s="68"/>
      <c r="F37" s="68"/>
      <c r="G37" s="95"/>
      <c r="H37" s="96"/>
      <c r="I37" s="68"/>
      <c r="J37" s="68"/>
      <c r="K37" s="68"/>
      <c r="L37" s="68"/>
      <c r="M37" s="68"/>
      <c r="N37" s="68"/>
      <c r="O37" s="68"/>
      <c r="P37" s="68"/>
      <c r="Q37" s="67"/>
      <c r="R37" s="94"/>
      <c r="S37" s="94"/>
      <c r="T37" s="92"/>
      <c r="U37" s="222" t="s">
        <v>97</v>
      </c>
      <c r="V37" s="360">
        <v>38147.89</v>
      </c>
      <c r="W37" s="353">
        <v>54770.866340000015</v>
      </c>
      <c r="X37" s="353">
        <v>503.25</v>
      </c>
      <c r="Y37" s="355">
        <v>-19337.166839999991</v>
      </c>
      <c r="Z37" s="78"/>
      <c r="AA37" s="158" t="str">
        <f t="shared" ref="AA37:AA53" si="18">U37</f>
        <v>North Carolina</v>
      </c>
      <c r="AB37" s="168">
        <v>38147.89</v>
      </c>
      <c r="AC37" s="144">
        <f t="shared" si="16"/>
        <v>1</v>
      </c>
      <c r="AD37" s="148"/>
      <c r="AE37" s="175" t="s">
        <v>3054</v>
      </c>
      <c r="AF37" s="149">
        <f>IFERROR(SUM(AF34:AF36),"-")</f>
        <v>335101.57713139994</v>
      </c>
      <c r="AG37" s="149">
        <f>IFERROR(SUM(AG34:AG36),"-")</f>
        <v>7020.66</v>
      </c>
      <c r="AH37" s="149">
        <f>IFERROR(SUM(AH34:AH36),"-")</f>
        <v>27.439999999999973</v>
      </c>
      <c r="AI37" s="149">
        <f>IFERROR(SUM(AI34:AI36),"-")</f>
        <v>78645.775268600017</v>
      </c>
      <c r="AJ37" s="150">
        <f>IFERROR(SUM(AJ34:AJ36),"-")</f>
        <v>441445.62</v>
      </c>
      <c r="AK37" s="73"/>
      <c r="AL37" s="222"/>
      <c r="AM37" s="393">
        <v>42035</v>
      </c>
      <c r="AN37" s="348">
        <v>16299.11</v>
      </c>
      <c r="AO37" s="146">
        <v>7714.6917749999993</v>
      </c>
      <c r="AP37" s="147">
        <v>133</v>
      </c>
      <c r="AQ37" s="59">
        <v>42035</v>
      </c>
      <c r="AR37" s="180">
        <v>16299.11</v>
      </c>
      <c r="AS37" s="61">
        <f t="shared" si="11"/>
        <v>1</v>
      </c>
      <c r="AT37" s="185">
        <f t="shared" si="12"/>
        <v>5</v>
      </c>
      <c r="AU37" s="405" t="s">
        <v>88</v>
      </c>
      <c r="AV37" s="398">
        <v>55813.919999999998</v>
      </c>
      <c r="AW37" s="399">
        <v>7769.3150700000015</v>
      </c>
      <c r="AX37" s="400">
        <v>3481</v>
      </c>
      <c r="AY37" s="181">
        <v>55813.919999999998</v>
      </c>
      <c r="AZ37" s="68"/>
      <c r="BE37" s="55"/>
      <c r="BF37" s="55"/>
      <c r="BG37" s="55"/>
      <c r="BH37" s="55"/>
      <c r="BI37" s="55"/>
      <c r="BJ37" s="55"/>
      <c r="BT37" s="271"/>
      <c r="BU37" s="271"/>
      <c r="BV37" s="271"/>
      <c r="BW37" s="271"/>
      <c r="BX37" s="271"/>
      <c r="BY37" s="271"/>
      <c r="CI37" s="103"/>
      <c r="CJ37" s="316" t="s">
        <v>113</v>
      </c>
      <c r="CK37" s="309">
        <v>4928.1599800000004</v>
      </c>
      <c r="CL37" s="296">
        <v>1642</v>
      </c>
      <c r="CM37" s="288"/>
      <c r="CO37" s="287"/>
    </row>
    <row r="38" spans="1:93" ht="15.75" thickBot="1" x14ac:dyDescent="0.3">
      <c r="B38" s="139" t="s">
        <v>3081</v>
      </c>
      <c r="C38" s="140"/>
      <c r="D38" s="140"/>
      <c r="E38" s="140"/>
      <c r="F38" s="140"/>
      <c r="G38" s="140"/>
      <c r="H38" s="141"/>
      <c r="I38" s="140"/>
      <c r="J38" s="140"/>
      <c r="K38" s="140"/>
      <c r="L38" s="140"/>
      <c r="M38" s="140"/>
      <c r="N38" s="140"/>
      <c r="O38" s="140"/>
      <c r="P38" s="140"/>
      <c r="Q38" s="140"/>
      <c r="R38" s="140"/>
      <c r="S38" s="142"/>
      <c r="T38" s="55"/>
      <c r="U38" s="222" t="s">
        <v>565</v>
      </c>
      <c r="V38" s="360">
        <v>5300.23</v>
      </c>
      <c r="W38" s="353">
        <v>1832.6151000000007</v>
      </c>
      <c r="X38" s="353">
        <v>72.28</v>
      </c>
      <c r="Y38" s="355">
        <v>3012.1560999999997</v>
      </c>
      <c r="Z38" s="78"/>
      <c r="AA38" s="158" t="str">
        <f t="shared" si="18"/>
        <v>North Dakota</v>
      </c>
      <c r="AB38" s="168">
        <v>5300.23</v>
      </c>
      <c r="AC38" s="144">
        <f t="shared" si="16"/>
        <v>1</v>
      </c>
      <c r="AD38" s="67"/>
      <c r="AE38" s="68"/>
      <c r="AF38" s="68"/>
      <c r="AG38" s="68"/>
      <c r="AH38" s="68"/>
      <c r="AI38" s="68"/>
      <c r="AJ38" s="68"/>
      <c r="AL38" s="225" t="s">
        <v>3044</v>
      </c>
      <c r="AM38" s="391">
        <v>42036</v>
      </c>
      <c r="AN38" s="409">
        <v>7529.03</v>
      </c>
      <c r="AO38" s="365">
        <v>918.25949999999989</v>
      </c>
      <c r="AP38" s="367">
        <v>97</v>
      </c>
      <c r="AQ38" s="59">
        <v>42036</v>
      </c>
      <c r="AR38" s="180">
        <v>7529.03</v>
      </c>
      <c r="AS38" s="61">
        <f t="shared" si="11"/>
        <v>1</v>
      </c>
      <c r="AT38" s="185">
        <f t="shared" si="12"/>
        <v>6</v>
      </c>
      <c r="AU38" s="405" t="s">
        <v>50</v>
      </c>
      <c r="AV38" s="398">
        <v>26071.61</v>
      </c>
      <c r="AW38" s="399">
        <v>-257.62879999999967</v>
      </c>
      <c r="AX38" s="400">
        <v>2744</v>
      </c>
      <c r="AY38" s="181">
        <v>26071.61</v>
      </c>
      <c r="AZ38" s="68"/>
      <c r="BE38" s="55"/>
      <c r="BF38" s="55"/>
      <c r="BG38" s="55"/>
      <c r="BH38" s="55"/>
      <c r="BI38" s="55"/>
      <c r="BJ38" s="55"/>
      <c r="BT38" s="271"/>
      <c r="BU38" s="271"/>
      <c r="BV38" s="271"/>
      <c r="BW38" s="271"/>
      <c r="BX38" s="271"/>
      <c r="BY38" s="271"/>
      <c r="CI38" s="103"/>
      <c r="CJ38" s="317" t="s">
        <v>67</v>
      </c>
      <c r="CK38" s="310">
        <v>11677.363099999999</v>
      </c>
      <c r="CL38" s="412">
        <v>600</v>
      </c>
      <c r="CM38" s="301"/>
      <c r="CN38" s="291"/>
      <c r="CO38" s="292"/>
    </row>
    <row r="39" spans="1:93" ht="15.75" thickBot="1" x14ac:dyDescent="0.3">
      <c r="B39" s="217"/>
      <c r="C39" s="217" t="s">
        <v>3065</v>
      </c>
      <c r="D39" s="218"/>
      <c r="E39" s="219"/>
      <c r="F39" s="219"/>
      <c r="G39" s="219"/>
      <c r="H39" s="219"/>
      <c r="I39" s="219"/>
      <c r="J39" s="219"/>
      <c r="K39" s="219"/>
      <c r="L39" s="219"/>
      <c r="M39" s="219"/>
      <c r="N39" s="219"/>
      <c r="O39" s="219"/>
      <c r="P39" s="219"/>
      <c r="Q39" s="219"/>
      <c r="R39" s="219"/>
      <c r="S39" s="220"/>
      <c r="T39" s="55"/>
      <c r="U39" s="222" t="s">
        <v>317</v>
      </c>
      <c r="V39" s="360">
        <v>69452.820000000007</v>
      </c>
      <c r="W39" s="353">
        <v>41357.092073999993</v>
      </c>
      <c r="X39" s="353">
        <v>1117.99</v>
      </c>
      <c r="Y39" s="355">
        <v>23410.842026000006</v>
      </c>
      <c r="Z39" s="78"/>
      <c r="AA39" s="158" t="str">
        <f t="shared" si="18"/>
        <v>Ohio</v>
      </c>
      <c r="AB39" s="168">
        <v>69452.820000000007</v>
      </c>
      <c r="AC39" s="144">
        <f t="shared" si="16"/>
        <v>1</v>
      </c>
      <c r="AD39" s="67"/>
      <c r="AE39" s="68"/>
      <c r="AF39" s="68"/>
      <c r="AG39" s="68"/>
      <c r="AH39" s="68"/>
      <c r="AI39" s="68"/>
      <c r="AJ39" s="68"/>
      <c r="AL39" s="222"/>
      <c r="AM39" s="392">
        <v>42037</v>
      </c>
      <c r="AN39" s="348">
        <v>20691.02</v>
      </c>
      <c r="AO39" s="146">
        <v>-1674.3463710000005</v>
      </c>
      <c r="AP39" s="147">
        <v>309</v>
      </c>
      <c r="AQ39" s="59">
        <v>42037</v>
      </c>
      <c r="AR39" s="180">
        <v>20691.02</v>
      </c>
      <c r="AS39" s="61">
        <f t="shared" si="11"/>
        <v>1</v>
      </c>
      <c r="AT39" s="185">
        <f t="shared" si="12"/>
        <v>6</v>
      </c>
      <c r="AU39" s="405" t="s">
        <v>176</v>
      </c>
      <c r="AV39" s="398">
        <v>1789.43</v>
      </c>
      <c r="AW39" s="399">
        <v>-1544.8260631999995</v>
      </c>
      <c r="AX39" s="400">
        <v>501</v>
      </c>
      <c r="AY39" s="181">
        <v>1789.43</v>
      </c>
      <c r="AZ39" s="68"/>
      <c r="BE39" s="55"/>
      <c r="BF39" s="55"/>
      <c r="BG39" s="55"/>
      <c r="BH39" s="55"/>
      <c r="BI39" s="55"/>
      <c r="BJ39" s="55"/>
      <c r="BT39" s="271"/>
      <c r="BU39" s="271"/>
      <c r="BV39" s="271"/>
      <c r="BW39" s="271"/>
      <c r="BX39" s="271"/>
      <c r="BY39" s="271"/>
    </row>
    <row r="40" spans="1:93" ht="15.75" thickBot="1" x14ac:dyDescent="0.3">
      <c r="B40" s="217" t="s">
        <v>3052</v>
      </c>
      <c r="C40" s="218" t="s">
        <v>95</v>
      </c>
      <c r="D40" s="219" t="s">
        <v>72</v>
      </c>
      <c r="E40" s="219" t="s">
        <v>117</v>
      </c>
      <c r="F40" s="219" t="s">
        <v>109</v>
      </c>
      <c r="G40" s="219" t="s">
        <v>42</v>
      </c>
      <c r="H40" s="219" t="s">
        <v>64</v>
      </c>
      <c r="I40" s="219" t="s">
        <v>345</v>
      </c>
      <c r="J40" s="219" t="s">
        <v>152</v>
      </c>
      <c r="K40" s="219" t="s">
        <v>126</v>
      </c>
      <c r="L40" s="219" t="s">
        <v>57</v>
      </c>
      <c r="M40" s="219" t="s">
        <v>88</v>
      </c>
      <c r="N40" s="219" t="s">
        <v>50</v>
      </c>
      <c r="O40" s="219" t="s">
        <v>176</v>
      </c>
      <c r="P40" s="219" t="s">
        <v>568</v>
      </c>
      <c r="Q40" s="219" t="s">
        <v>78</v>
      </c>
      <c r="R40" s="219" t="s">
        <v>30</v>
      </c>
      <c r="S40" s="220" t="s">
        <v>135</v>
      </c>
      <c r="T40" s="55"/>
      <c r="U40" s="222" t="s">
        <v>207</v>
      </c>
      <c r="V40" s="360">
        <v>6884.04</v>
      </c>
      <c r="W40" s="353">
        <v>3875.7087799999999</v>
      </c>
      <c r="X40" s="353">
        <v>245.17</v>
      </c>
      <c r="Y40" s="355">
        <v>2555.9895200000001</v>
      </c>
      <c r="Z40" s="78"/>
      <c r="AA40" s="158" t="str">
        <f t="shared" si="18"/>
        <v>Oklahoma</v>
      </c>
      <c r="AB40" s="168">
        <v>6884.04</v>
      </c>
      <c r="AC40" s="144">
        <f t="shared" si="16"/>
        <v>1</v>
      </c>
      <c r="AD40" s="67"/>
      <c r="AE40" s="68"/>
      <c r="AF40" s="68"/>
      <c r="AG40" s="68"/>
      <c r="AH40" s="68"/>
      <c r="AI40" s="68"/>
      <c r="AJ40" s="68"/>
      <c r="AL40" s="222"/>
      <c r="AM40" s="392">
        <v>42038</v>
      </c>
      <c r="AN40" s="348">
        <v>3485.71</v>
      </c>
      <c r="AO40" s="146">
        <v>290.33600000000001</v>
      </c>
      <c r="AP40" s="147">
        <v>29</v>
      </c>
      <c r="AQ40" s="59">
        <v>42038</v>
      </c>
      <c r="AR40" s="180">
        <v>3485.71</v>
      </c>
      <c r="AS40" s="61">
        <f t="shared" si="11"/>
        <v>1</v>
      </c>
      <c r="AT40" s="185">
        <f t="shared" si="12"/>
        <v>6</v>
      </c>
      <c r="AU40" s="405" t="s">
        <v>568</v>
      </c>
      <c r="AV40" s="398">
        <v>6752.18</v>
      </c>
      <c r="AW40" s="399">
        <v>-1291.0959000000003</v>
      </c>
      <c r="AX40" s="400">
        <v>423</v>
      </c>
      <c r="AY40" s="181">
        <v>6752.18</v>
      </c>
      <c r="AZ40" s="68"/>
      <c r="BE40" s="55"/>
      <c r="BF40" s="55"/>
      <c r="BG40" s="55"/>
      <c r="BH40" s="55"/>
      <c r="BI40" s="55"/>
      <c r="BJ40" s="55"/>
      <c r="BT40" s="271"/>
      <c r="BU40" s="271"/>
      <c r="BV40" s="271"/>
      <c r="BW40" s="271"/>
      <c r="BX40" s="271"/>
      <c r="BY40" s="271"/>
      <c r="CI40" s="103"/>
      <c r="CJ40" s="298" t="s">
        <v>3101</v>
      </c>
      <c r="CK40" s="293"/>
      <c r="CL40" s="294"/>
      <c r="CM40" s="305" t="s">
        <v>3053</v>
      </c>
      <c r="CN40" s="306" t="str">
        <f>CHOOSE(Distribution!AH9,"Sales", "Profit")</f>
        <v>Profit</v>
      </c>
      <c r="CO40" s="307"/>
    </row>
    <row r="41" spans="1:93" ht="15.75" thickBot="1" x14ac:dyDescent="0.3">
      <c r="B41" s="350" t="s">
        <v>3068</v>
      </c>
      <c r="C41" s="345">
        <v>4441.3719000000001</v>
      </c>
      <c r="D41" s="346">
        <v>6401.7309999999979</v>
      </c>
      <c r="E41" s="346">
        <v>4536.7698000000019</v>
      </c>
      <c r="F41" s="346">
        <v>12252.623699999998</v>
      </c>
      <c r="G41" s="346">
        <v>5405.0749999999971</v>
      </c>
      <c r="H41" s="346">
        <v>5175.9114</v>
      </c>
      <c r="I41" s="346">
        <v>500.76230000000004</v>
      </c>
      <c r="J41" s="346">
        <v>243.28150000000002</v>
      </c>
      <c r="K41" s="346">
        <v>3529.8900000000012</v>
      </c>
      <c r="L41" s="346">
        <v>15849.907800000001</v>
      </c>
      <c r="M41" s="346">
        <v>2747.3200000000006</v>
      </c>
      <c r="N41" s="346">
        <v>1366.8413999999998</v>
      </c>
      <c r="O41" s="346">
        <v>84.712400000000017</v>
      </c>
      <c r="P41" s="346">
        <v>286.62939999999992</v>
      </c>
      <c r="Q41" s="346">
        <v>7077.5603999999976</v>
      </c>
      <c r="R41" s="346">
        <v>10207.171399999997</v>
      </c>
      <c r="S41" s="347">
        <v>11011.929799999998</v>
      </c>
      <c r="T41" s="55"/>
      <c r="U41" s="222" t="s">
        <v>139</v>
      </c>
      <c r="V41" s="360">
        <v>21821.83</v>
      </c>
      <c r="W41" s="353">
        <v>5343.4571999999989</v>
      </c>
      <c r="X41" s="353">
        <v>216.11</v>
      </c>
      <c r="Y41" s="355">
        <v>15291.572600000001</v>
      </c>
      <c r="Z41" s="78"/>
      <c r="AA41" s="158" t="str">
        <f t="shared" si="18"/>
        <v>Oregon</v>
      </c>
      <c r="AB41" s="168">
        <v>21821.83</v>
      </c>
      <c r="AC41" s="144">
        <f t="shared" si="16"/>
        <v>1</v>
      </c>
      <c r="AD41" s="67"/>
      <c r="AE41" s="68"/>
      <c r="AF41" s="68"/>
      <c r="AG41" s="68"/>
      <c r="AH41" s="68"/>
      <c r="AI41" s="68"/>
      <c r="AJ41" s="68"/>
      <c r="AL41" s="222"/>
      <c r="AM41" s="392">
        <v>42039</v>
      </c>
      <c r="AN41" s="348">
        <v>8893.91</v>
      </c>
      <c r="AO41" s="146">
        <v>-2903.3084920000001</v>
      </c>
      <c r="AP41" s="147">
        <v>192</v>
      </c>
      <c r="AQ41" s="59">
        <v>42039</v>
      </c>
      <c r="AR41" s="180">
        <v>8893.91</v>
      </c>
      <c r="AS41" s="61">
        <f t="shared" si="11"/>
        <v>1</v>
      </c>
      <c r="AT41" s="185">
        <f t="shared" si="12"/>
        <v>6</v>
      </c>
      <c r="AU41" s="405" t="s">
        <v>78</v>
      </c>
      <c r="AV41" s="398">
        <v>175730.05</v>
      </c>
      <c r="AW41" s="399">
        <v>7803.9946</v>
      </c>
      <c r="AX41" s="400">
        <v>1889</v>
      </c>
      <c r="AY41" s="181">
        <v>175730.05</v>
      </c>
      <c r="AZ41" s="68"/>
      <c r="BE41" s="55"/>
      <c r="BF41" s="55"/>
      <c r="BG41" s="55"/>
      <c r="BH41" s="55"/>
      <c r="BI41" s="55"/>
      <c r="BJ41" s="55"/>
      <c r="BT41" s="271"/>
      <c r="BU41" s="271"/>
      <c r="BV41" s="271"/>
      <c r="BW41" s="271"/>
      <c r="BX41" s="271"/>
      <c r="BY41" s="271"/>
      <c r="CI41" s="103"/>
      <c r="CJ41" s="311" t="s">
        <v>3104</v>
      </c>
      <c r="CK41" s="312" t="s">
        <v>22</v>
      </c>
      <c r="CL41" s="313" t="s">
        <v>3016</v>
      </c>
      <c r="CM41" s="302" t="s">
        <v>11</v>
      </c>
      <c r="CN41" s="303" t="str">
        <f>CN40</f>
        <v>Profit</v>
      </c>
      <c r="CO41" s="304" t="s">
        <v>3016</v>
      </c>
    </row>
    <row r="42" spans="1:93" x14ac:dyDescent="0.25">
      <c r="B42" s="351" t="s">
        <v>3069</v>
      </c>
      <c r="C42" s="348">
        <v>12594.820600000001</v>
      </c>
      <c r="D42" s="146">
        <v>59296.389429999988</v>
      </c>
      <c r="E42" s="146">
        <v>-930.43840000000046</v>
      </c>
      <c r="F42" s="146">
        <v>39808.485999999997</v>
      </c>
      <c r="G42" s="146">
        <v>1698.043979999999</v>
      </c>
      <c r="H42" s="146">
        <v>23990.207579999998</v>
      </c>
      <c r="I42" s="146">
        <v>-1194.4125000000008</v>
      </c>
      <c r="J42" s="146">
        <v>7028.1595000000016</v>
      </c>
      <c r="K42" s="146">
        <v>18724.1191</v>
      </c>
      <c r="L42" s="146">
        <v>8824.3905639999939</v>
      </c>
      <c r="M42" s="146">
        <v>7769.3150700000015</v>
      </c>
      <c r="N42" s="146">
        <v>-257.62879999999967</v>
      </c>
      <c r="O42" s="146">
        <v>-1544.8260631999995</v>
      </c>
      <c r="P42" s="146">
        <v>-1291.0959000000003</v>
      </c>
      <c r="Q42" s="146">
        <v>7803.9946</v>
      </c>
      <c r="R42" s="146">
        <v>-8086.6392636499968</v>
      </c>
      <c r="S42" s="147">
        <v>40790.514240000011</v>
      </c>
      <c r="T42" s="55"/>
      <c r="U42" s="222" t="s">
        <v>320</v>
      </c>
      <c r="V42" s="360">
        <v>45780.85</v>
      </c>
      <c r="W42" s="353">
        <v>44643.700624600002</v>
      </c>
      <c r="X42" s="353">
        <v>693.2</v>
      </c>
      <c r="Y42" s="355">
        <v>-1556.1825245999987</v>
      </c>
      <c r="Z42" s="78"/>
      <c r="AA42" s="158" t="str">
        <f t="shared" si="18"/>
        <v>Pennsylvania</v>
      </c>
      <c r="AB42" s="168">
        <v>45780.85</v>
      </c>
      <c r="AC42" s="144">
        <f t="shared" si="16"/>
        <v>1</v>
      </c>
      <c r="AD42" s="67"/>
      <c r="AE42" s="68"/>
      <c r="AF42" s="68"/>
      <c r="AG42" s="68"/>
      <c r="AH42" s="68"/>
      <c r="AI42" s="68"/>
      <c r="AJ42" s="68"/>
      <c r="AL42" s="222"/>
      <c r="AM42" s="392">
        <v>42040</v>
      </c>
      <c r="AN42" s="348">
        <v>17906.150000000001</v>
      </c>
      <c r="AO42" s="146">
        <v>7315.8927000000003</v>
      </c>
      <c r="AP42" s="147">
        <v>304</v>
      </c>
      <c r="AQ42" s="59">
        <v>42040</v>
      </c>
      <c r="AR42" s="180">
        <v>17906.150000000001</v>
      </c>
      <c r="AS42" s="61">
        <f t="shared" si="11"/>
        <v>1</v>
      </c>
      <c r="AT42" s="185">
        <f t="shared" si="12"/>
        <v>6</v>
      </c>
      <c r="AU42" s="405" t="s">
        <v>30</v>
      </c>
      <c r="AV42" s="398">
        <v>172511.33</v>
      </c>
      <c r="AW42" s="399">
        <v>-8086.6392636499968</v>
      </c>
      <c r="AX42" s="400">
        <v>882</v>
      </c>
      <c r="AY42" s="181">
        <v>172511.33</v>
      </c>
      <c r="AZ42" s="68"/>
      <c r="BE42" s="55"/>
      <c r="BF42" s="55"/>
      <c r="BG42" s="55"/>
      <c r="BH42" s="55"/>
      <c r="BI42" s="55"/>
      <c r="BJ42" s="55"/>
      <c r="BT42" s="271"/>
      <c r="BU42" s="271"/>
      <c r="BV42" s="271"/>
      <c r="BW42" s="271"/>
      <c r="BX42" s="271"/>
      <c r="BY42" s="271"/>
      <c r="CI42" s="103"/>
      <c r="CJ42" s="298" t="s">
        <v>2645</v>
      </c>
      <c r="CK42" s="308">
        <v>4.21</v>
      </c>
      <c r="CL42" s="294">
        <v>1</v>
      </c>
      <c r="CM42" s="288" t="str" cm="1">
        <f t="array" ref="CM42">IFERROR(_xlfn.IFS($CN$40="Sales",CJ42,$CN$40="Profit",CJ48),"")</f>
        <v>Walla Walla</v>
      </c>
      <c r="CN42" s="270" cm="1">
        <f t="array" ref="CN42">IFERROR(_xlfn.IFS($CN$40="Sales",CK42,$CN$40="Profit",CK48),"")</f>
        <v>-2.87</v>
      </c>
      <c r="CO42" s="287" cm="1">
        <f t="array" ref="CO42">IFERROR(_xlfn.IFS($CN$40="Sales",CL42,$CN$40="Profit",CL48),"")</f>
        <v>1</v>
      </c>
    </row>
    <row r="43" spans="1:93" ht="15.75" thickBot="1" x14ac:dyDescent="0.3">
      <c r="B43" s="351" t="s">
        <v>3070</v>
      </c>
      <c r="C43" s="348">
        <v>1589.65</v>
      </c>
      <c r="D43" s="146">
        <v>1493.36</v>
      </c>
      <c r="E43" s="146">
        <v>1957.71</v>
      </c>
      <c r="F43" s="146">
        <v>3560.59</v>
      </c>
      <c r="G43" s="146">
        <v>1094.8399999999999</v>
      </c>
      <c r="H43" s="146">
        <v>476.99</v>
      </c>
      <c r="I43" s="146">
        <v>334.03</v>
      </c>
      <c r="J43" s="146">
        <v>93.03</v>
      </c>
      <c r="K43" s="146">
        <v>1942.03</v>
      </c>
      <c r="L43" s="146">
        <v>1903.64</v>
      </c>
      <c r="M43" s="146">
        <v>1777.19</v>
      </c>
      <c r="N43" s="146">
        <v>498.16</v>
      </c>
      <c r="O43" s="146">
        <v>46.54</v>
      </c>
      <c r="P43" s="146">
        <v>163.95</v>
      </c>
      <c r="Q43" s="146">
        <v>2349.54</v>
      </c>
      <c r="R43" s="146">
        <v>4397.51</v>
      </c>
      <c r="S43" s="147">
        <v>1069.67</v>
      </c>
      <c r="T43" s="55"/>
      <c r="U43" s="222" t="s">
        <v>584</v>
      </c>
      <c r="V43" s="360">
        <v>10027.83</v>
      </c>
      <c r="W43" s="353">
        <v>4236.1898000000019</v>
      </c>
      <c r="X43" s="353">
        <v>137.12</v>
      </c>
      <c r="Y43" s="355">
        <v>5073.0013999999992</v>
      </c>
      <c r="Z43" s="78"/>
      <c r="AA43" s="158" t="str">
        <f t="shared" si="18"/>
        <v>Rhode Island</v>
      </c>
      <c r="AB43" s="168">
        <v>10027.83</v>
      </c>
      <c r="AC43" s="144">
        <f t="shared" si="16"/>
        <v>1</v>
      </c>
      <c r="AD43" s="67"/>
      <c r="AE43" s="68"/>
      <c r="AF43" s="68"/>
      <c r="AG43" s="68"/>
      <c r="AH43" s="68"/>
      <c r="AI43" s="68"/>
      <c r="AJ43" s="68"/>
      <c r="AL43" s="222"/>
      <c r="AM43" s="392">
        <v>42041</v>
      </c>
      <c r="AN43" s="348">
        <v>9149.27</v>
      </c>
      <c r="AO43" s="146">
        <v>-1083.0096832000004</v>
      </c>
      <c r="AP43" s="147">
        <v>167</v>
      </c>
      <c r="AQ43" s="59">
        <v>42041</v>
      </c>
      <c r="AR43" s="180">
        <v>9149.27</v>
      </c>
      <c r="AS43" s="61">
        <f t="shared" si="11"/>
        <v>1</v>
      </c>
      <c r="AT43" s="185">
        <f t="shared" si="12"/>
        <v>6</v>
      </c>
      <c r="AU43" s="406" t="s">
        <v>135</v>
      </c>
      <c r="AV43" s="401">
        <v>198764.49</v>
      </c>
      <c r="AW43" s="402">
        <v>40790.514240000011</v>
      </c>
      <c r="AX43" s="403">
        <v>2358</v>
      </c>
      <c r="AY43" s="195">
        <v>198764.49</v>
      </c>
      <c r="AZ43" s="68"/>
      <c r="BE43" s="55"/>
      <c r="BF43" s="55"/>
      <c r="BG43" s="55"/>
      <c r="BH43" s="55"/>
      <c r="BI43" s="55"/>
      <c r="BJ43" s="55"/>
      <c r="BT43" s="271"/>
      <c r="BU43" s="271"/>
      <c r="BV43" s="271"/>
      <c r="BW43" s="271"/>
      <c r="BX43" s="271"/>
      <c r="BY43" s="271"/>
      <c r="CI43" s="103"/>
      <c r="CJ43" s="283" t="s">
        <v>1385</v>
      </c>
      <c r="CK43" s="309">
        <v>6.97</v>
      </c>
      <c r="CL43" s="271">
        <v>2</v>
      </c>
      <c r="CM43" s="288" t="str" cm="1">
        <f t="array" ref="CM43">IFERROR(_xlfn.IFS($CN$40="Sales",CJ43,$CN$40="Profit",CJ49),"")</f>
        <v>Laguna Hills</v>
      </c>
      <c r="CN43" s="270" cm="1">
        <f t="array" ref="CN43">IFERROR(_xlfn.IFS($CN$40="Sales",CK43,$CN$40="Profit",CK49),"")</f>
        <v>-8.2799999999999994</v>
      </c>
      <c r="CO43" s="287" cm="1">
        <f t="array" ref="CO43">IFERROR(_xlfn.IFS($CN$40="Sales",CL43,$CN$40="Profit",CL49),"")</f>
        <v>2</v>
      </c>
    </row>
    <row r="44" spans="1:93" ht="15.75" thickBot="1" x14ac:dyDescent="0.3">
      <c r="B44" s="352" t="s">
        <v>3067</v>
      </c>
      <c r="C44" s="349">
        <v>63575.30750000001</v>
      </c>
      <c r="D44" s="149">
        <v>118736.65956999996</v>
      </c>
      <c r="E44" s="149">
        <v>102232.04860000002</v>
      </c>
      <c r="F44" s="149">
        <v>185578.72030000004</v>
      </c>
      <c r="G44" s="149">
        <v>88063.341020000007</v>
      </c>
      <c r="H44" s="149">
        <v>69426.371020000006</v>
      </c>
      <c r="I44" s="149">
        <v>10839.390200000003</v>
      </c>
      <c r="J44" s="149">
        <v>-2449.6509999999998</v>
      </c>
      <c r="K44" s="149">
        <v>73874.870899999951</v>
      </c>
      <c r="L44" s="149">
        <v>291591.74163600011</v>
      </c>
      <c r="M44" s="149">
        <v>43520.094930000014</v>
      </c>
      <c r="N44" s="149">
        <v>24464.237400000024</v>
      </c>
      <c r="O44" s="149">
        <v>3203.0036631999988</v>
      </c>
      <c r="P44" s="149">
        <v>7592.6965000000009</v>
      </c>
      <c r="Q44" s="149">
        <v>158498.95500000005</v>
      </c>
      <c r="R44" s="149">
        <v>165993.28786364995</v>
      </c>
      <c r="S44" s="150">
        <v>145892.37596</v>
      </c>
      <c r="T44" s="55"/>
      <c r="U44" s="222" t="s">
        <v>271</v>
      </c>
      <c r="V44" s="360">
        <v>16544.63</v>
      </c>
      <c r="W44" s="353">
        <v>13558.719863200004</v>
      </c>
      <c r="X44" s="353">
        <v>333.17</v>
      </c>
      <c r="Y44" s="355">
        <v>1695.7832368000002</v>
      </c>
      <c r="Z44" s="78"/>
      <c r="AA44" s="158" t="str">
        <f t="shared" si="18"/>
        <v>South Carolina</v>
      </c>
      <c r="AB44" s="168">
        <v>16544.63</v>
      </c>
      <c r="AC44" s="144">
        <f t="shared" si="16"/>
        <v>1</v>
      </c>
      <c r="AD44" s="67"/>
      <c r="AE44" s="68"/>
      <c r="AF44" s="68"/>
      <c r="AG44" s="68"/>
      <c r="AH44" s="68"/>
      <c r="AI44" s="68"/>
      <c r="AJ44" s="68"/>
      <c r="AL44" s="222"/>
      <c r="AM44" s="392">
        <v>42042</v>
      </c>
      <c r="AN44" s="348">
        <v>4720.29</v>
      </c>
      <c r="AO44" s="146">
        <v>715.13743999999997</v>
      </c>
      <c r="AP44" s="147">
        <v>226</v>
      </c>
      <c r="AQ44" s="59">
        <v>42042</v>
      </c>
      <c r="AR44" s="180">
        <v>4720.29</v>
      </c>
      <c r="AS44" s="61">
        <f t="shared" si="11"/>
        <v>1</v>
      </c>
      <c r="AT44" s="185">
        <f t="shared" si="12"/>
        <v>6</v>
      </c>
      <c r="AU44" s="68"/>
      <c r="AV44" s="68"/>
      <c r="AW44" s="68"/>
      <c r="AX44" s="68"/>
      <c r="AY44" s="68"/>
      <c r="AZ44" s="68"/>
      <c r="BE44" s="55"/>
      <c r="BF44" s="55"/>
      <c r="BG44" s="55"/>
      <c r="BH44" s="55"/>
      <c r="BI44" s="55"/>
      <c r="BJ44" s="55"/>
      <c r="BT44" s="271"/>
      <c r="BU44" s="271"/>
      <c r="BV44" s="271"/>
      <c r="BW44" s="271"/>
      <c r="BX44" s="271"/>
      <c r="BY44" s="271"/>
      <c r="CI44" s="103"/>
      <c r="CJ44" s="289" t="s">
        <v>2607</v>
      </c>
      <c r="CK44" s="310">
        <v>5.9</v>
      </c>
      <c r="CL44" s="411">
        <v>1</v>
      </c>
      <c r="CM44" s="288" t="str" cm="1">
        <f t="array" ref="CM44">IFERROR(_xlfn.IFS($CN$40="Sales",CJ44,$CN$40="Profit",CJ50),"")</f>
        <v>Janesville</v>
      </c>
      <c r="CN44" s="270" cm="1">
        <f t="array" ref="CN44">IFERROR(_xlfn.IFS($CN$40="Sales",CK44,$CN$40="Profit",CK50),"")</f>
        <v>-5.54</v>
      </c>
      <c r="CO44" s="287" cm="1">
        <f t="array" ref="CO44">IFERROR(_xlfn.IFS($CN$40="Sales",CL44,$CN$40="Profit",CL50),"")</f>
        <v>1</v>
      </c>
    </row>
    <row r="45" spans="1:93" x14ac:dyDescent="0.25">
      <c r="B45" s="157"/>
      <c r="C45" s="140"/>
      <c r="D45" s="142"/>
      <c r="E45" s="68"/>
      <c r="F45" s="68"/>
      <c r="G45" s="68"/>
      <c r="H45" s="60"/>
      <c r="I45" s="68"/>
      <c r="J45" s="68"/>
      <c r="K45" s="68"/>
      <c r="L45" s="68"/>
      <c r="M45" s="68"/>
      <c r="N45" s="68"/>
      <c r="O45" s="68"/>
      <c r="P45" s="68"/>
      <c r="Q45" s="68"/>
      <c r="R45" s="68"/>
      <c r="S45" s="68"/>
      <c r="T45" s="55"/>
      <c r="U45" s="222" t="s">
        <v>1071</v>
      </c>
      <c r="V45" s="360">
        <v>1550.49</v>
      </c>
      <c r="W45" s="353">
        <v>1003.3662</v>
      </c>
      <c r="X45" s="353">
        <v>89.87</v>
      </c>
      <c r="Y45" s="355">
        <v>431.18619999999999</v>
      </c>
      <c r="Z45" s="78"/>
      <c r="AA45" s="158" t="str">
        <f t="shared" si="18"/>
        <v>South Dakota</v>
      </c>
      <c r="AB45" s="168">
        <v>1550.49</v>
      </c>
      <c r="AC45" s="144">
        <f t="shared" si="16"/>
        <v>1</v>
      </c>
      <c r="AD45" s="67"/>
      <c r="AE45" s="68"/>
      <c r="AF45" s="68"/>
      <c r="AG45" s="68"/>
      <c r="AH45" s="68"/>
      <c r="AI45" s="68"/>
      <c r="AJ45" s="68"/>
      <c r="AL45" s="222"/>
      <c r="AM45" s="392">
        <v>42043</v>
      </c>
      <c r="AN45" s="348">
        <v>1404.04</v>
      </c>
      <c r="AO45" s="146">
        <v>-646.52010000000007</v>
      </c>
      <c r="AP45" s="147">
        <v>10</v>
      </c>
      <c r="AQ45" s="59">
        <v>42043</v>
      </c>
      <c r="AR45" s="180">
        <v>1404.04</v>
      </c>
      <c r="AS45" s="61">
        <f t="shared" si="11"/>
        <v>1</v>
      </c>
      <c r="AT45" s="185">
        <f t="shared" si="12"/>
        <v>7</v>
      </c>
      <c r="AU45" s="68"/>
      <c r="AV45" s="68"/>
      <c r="AW45" s="68"/>
      <c r="AX45" s="68"/>
      <c r="AY45" s="68"/>
      <c r="AZ45" s="68"/>
      <c r="BE45" s="55"/>
      <c r="BF45" s="55"/>
      <c r="BG45" s="55"/>
      <c r="BH45" s="55"/>
      <c r="BI45" s="55"/>
      <c r="BJ45" s="55"/>
      <c r="BT45" s="271"/>
      <c r="BU45" s="271"/>
      <c r="BV45" s="271"/>
      <c r="BW45" s="271"/>
      <c r="BX45" s="271"/>
      <c r="BY45" s="271"/>
      <c r="CJ45" s="288"/>
      <c r="CM45" s="288"/>
      <c r="CO45" s="287"/>
    </row>
    <row r="46" spans="1:93" ht="15.75" thickBot="1" x14ac:dyDescent="0.3">
      <c r="A46" s="416"/>
      <c r="B46" s="418" t="s">
        <v>3066</v>
      </c>
      <c r="C46" s="416" t="s">
        <v>95</v>
      </c>
      <c r="D46" s="419"/>
      <c r="E46" s="416"/>
      <c r="F46" s="68"/>
      <c r="G46" s="68"/>
      <c r="H46" s="60"/>
      <c r="I46" s="68"/>
      <c r="J46" s="68"/>
      <c r="K46" s="68"/>
      <c r="L46" s="68"/>
      <c r="M46" s="68"/>
      <c r="N46" s="68"/>
      <c r="O46" s="68"/>
      <c r="P46" s="68"/>
      <c r="Q46" s="68"/>
      <c r="R46" s="68"/>
      <c r="S46" s="68"/>
      <c r="T46" s="55"/>
      <c r="U46" s="222" t="s">
        <v>400</v>
      </c>
      <c r="V46" s="360">
        <v>33209.760000000002</v>
      </c>
      <c r="W46" s="353">
        <v>32290.383500000004</v>
      </c>
      <c r="X46" s="353">
        <v>632.63</v>
      </c>
      <c r="Y46" s="355">
        <v>-1603.4634000000008</v>
      </c>
      <c r="Z46" s="78"/>
      <c r="AA46" s="158" t="str">
        <f t="shared" si="18"/>
        <v>Tennessee</v>
      </c>
      <c r="AB46" s="168">
        <v>33209.760000000002</v>
      </c>
      <c r="AC46" s="144">
        <f t="shared" si="16"/>
        <v>1</v>
      </c>
      <c r="AD46" s="67"/>
      <c r="AE46" s="68"/>
      <c r="AF46" s="68"/>
      <c r="AG46" s="68"/>
      <c r="AH46" s="68"/>
      <c r="AI46" s="68"/>
      <c r="AJ46" s="68"/>
      <c r="AL46" s="222"/>
      <c r="AM46" s="392">
        <v>42044</v>
      </c>
      <c r="AN46" s="348">
        <v>570.14</v>
      </c>
      <c r="AO46" s="146">
        <v>-40.449619999999996</v>
      </c>
      <c r="AP46" s="147">
        <v>37</v>
      </c>
      <c r="AQ46" s="59">
        <v>42044</v>
      </c>
      <c r="AR46" s="180">
        <v>570.14</v>
      </c>
      <c r="AS46" s="61">
        <f t="shared" si="11"/>
        <v>1</v>
      </c>
      <c r="AT46" s="185">
        <f t="shared" si="12"/>
        <v>7</v>
      </c>
      <c r="AU46" s="68"/>
      <c r="AV46" s="68"/>
      <c r="AW46" s="68"/>
      <c r="AX46" s="68"/>
      <c r="AY46" s="68"/>
      <c r="AZ46" s="68"/>
      <c r="BE46" s="55"/>
      <c r="BF46" s="55"/>
      <c r="BG46" s="55"/>
      <c r="BH46" s="55"/>
      <c r="BI46" s="55"/>
      <c r="BJ46" s="55"/>
      <c r="BT46" s="271"/>
      <c r="BU46" s="271"/>
      <c r="BV46" s="271"/>
      <c r="BW46" s="271"/>
      <c r="BX46" s="271"/>
      <c r="BY46" s="271"/>
      <c r="CI46" s="103"/>
      <c r="CJ46" s="283" t="s">
        <v>3103</v>
      </c>
      <c r="CK46" s="281"/>
      <c r="CL46" s="271"/>
      <c r="CM46" s="288"/>
      <c r="CO46" s="287"/>
    </row>
    <row r="47" spans="1:93" s="153" customFormat="1" ht="24" thickBot="1" x14ac:dyDescent="0.3">
      <c r="A47" s="417"/>
      <c r="B47" s="421" t="s">
        <v>109</v>
      </c>
      <c r="C47" s="422"/>
      <c r="D47" s="423" t="s">
        <v>3112</v>
      </c>
      <c r="E47" s="417"/>
      <c r="F47" s="215">
        <v>12</v>
      </c>
      <c r="G47" s="154"/>
      <c r="H47" s="155"/>
      <c r="I47" s="154"/>
      <c r="J47" s="154"/>
      <c r="K47" s="154"/>
      <c r="L47" s="154"/>
      <c r="M47" s="154"/>
      <c r="N47" s="154"/>
      <c r="O47" s="154"/>
      <c r="P47" s="154"/>
      <c r="Q47" s="154"/>
      <c r="R47" s="154"/>
      <c r="S47" s="154"/>
      <c r="U47" s="363" t="s">
        <v>187</v>
      </c>
      <c r="V47" s="361">
        <v>91937.13</v>
      </c>
      <c r="W47" s="354">
        <v>58783.030040000012</v>
      </c>
      <c r="X47" s="354">
        <v>1408.72</v>
      </c>
      <c r="Y47" s="356">
        <v>27288.386660000004</v>
      </c>
      <c r="Z47" s="156"/>
      <c r="AA47" s="169" t="str">
        <f t="shared" si="18"/>
        <v>Texas</v>
      </c>
      <c r="AB47" s="170">
        <v>91937.13</v>
      </c>
      <c r="AC47" s="171">
        <f t="shared" si="16"/>
        <v>1</v>
      </c>
      <c r="AD47" s="154"/>
      <c r="AE47" s="154"/>
      <c r="AF47" s="154"/>
      <c r="AG47" s="154"/>
      <c r="AH47" s="154"/>
      <c r="AI47" s="154"/>
      <c r="AJ47" s="154"/>
      <c r="AL47" s="222"/>
      <c r="AM47" s="392">
        <v>42045</v>
      </c>
      <c r="AN47" s="410">
        <v>13160.58</v>
      </c>
      <c r="AO47" s="407">
        <v>1029.4508600000001</v>
      </c>
      <c r="AP47" s="408">
        <v>341</v>
      </c>
      <c r="AQ47" s="187">
        <v>42045</v>
      </c>
      <c r="AR47" s="188">
        <v>13160.58</v>
      </c>
      <c r="AS47" s="189">
        <f t="shared" si="11"/>
        <v>1</v>
      </c>
      <c r="AT47" s="190">
        <f t="shared" si="12"/>
        <v>7</v>
      </c>
      <c r="AU47" s="154"/>
      <c r="AV47" s="154"/>
      <c r="AW47" s="154"/>
      <c r="AX47" s="154"/>
      <c r="AY47" s="154"/>
      <c r="AZ47" s="154"/>
      <c r="BT47" s="271"/>
      <c r="BU47" s="271"/>
      <c r="BV47" s="271"/>
      <c r="BW47" s="271"/>
      <c r="BX47" s="271"/>
      <c r="BY47" s="271"/>
      <c r="CI47" s="103"/>
      <c r="CJ47" s="311" t="s">
        <v>3104</v>
      </c>
      <c r="CK47" s="312" t="s">
        <v>20</v>
      </c>
      <c r="CL47" s="313" t="s">
        <v>3016</v>
      </c>
      <c r="CM47" s="288"/>
      <c r="CN47" s="56"/>
      <c r="CO47" s="287"/>
    </row>
    <row r="48" spans="1:93" ht="18.75" x14ac:dyDescent="0.25">
      <c r="A48" s="416"/>
      <c r="B48" s="151" t="str">
        <f>B41</f>
        <v>Σ Discount</v>
      </c>
      <c r="C48" s="200" cm="1">
        <f t="array" ref="C48:C51">INDEX($C$41:$S$44,,_xlfn.XMATCH(B47,C40:S40))</f>
        <v>12252.623699999998</v>
      </c>
      <c r="D48" s="152">
        <f>C48/$C$53</f>
        <v>5.079851726626345E-2</v>
      </c>
      <c r="E48" s="420" t="s">
        <v>3112</v>
      </c>
      <c r="F48" s="215" t="s">
        <v>3090</v>
      </c>
      <c r="G48" s="68"/>
      <c r="H48" s="60"/>
      <c r="I48" s="68"/>
      <c r="J48" s="68"/>
      <c r="K48" s="68"/>
      <c r="L48" s="68"/>
      <c r="M48" s="68"/>
      <c r="N48" s="68"/>
      <c r="O48" s="68"/>
      <c r="P48" s="68"/>
      <c r="Q48" s="68"/>
      <c r="R48" s="68"/>
      <c r="S48" s="68"/>
      <c r="T48" s="55"/>
      <c r="U48" s="222" t="s">
        <v>146</v>
      </c>
      <c r="V48" s="360">
        <v>26981.67</v>
      </c>
      <c r="W48" s="353">
        <v>20730.453920000004</v>
      </c>
      <c r="X48" s="353">
        <v>568.74</v>
      </c>
      <c r="Y48" s="355">
        <v>3931.8369799999996</v>
      </c>
      <c r="Z48" s="78"/>
      <c r="AA48" s="158" t="str">
        <f t="shared" si="18"/>
        <v>Utah</v>
      </c>
      <c r="AB48" s="168">
        <v>26981.67</v>
      </c>
      <c r="AC48" s="144">
        <f t="shared" si="16"/>
        <v>1</v>
      </c>
      <c r="AD48" s="67"/>
      <c r="AE48" s="68"/>
      <c r="AF48" s="68"/>
      <c r="AG48" s="68"/>
      <c r="AH48" s="68"/>
      <c r="AI48" s="68"/>
      <c r="AJ48" s="68"/>
      <c r="AL48" s="222"/>
      <c r="AM48" s="392">
        <v>42046</v>
      </c>
      <c r="AN48" s="348">
        <v>23856.93</v>
      </c>
      <c r="AO48" s="146">
        <v>-2239.0020999999992</v>
      </c>
      <c r="AP48" s="147">
        <v>122</v>
      </c>
      <c r="AQ48" s="59">
        <v>42046</v>
      </c>
      <c r="AR48" s="180">
        <v>23856.93</v>
      </c>
      <c r="AS48" s="61">
        <f t="shared" si="11"/>
        <v>1</v>
      </c>
      <c r="AT48" s="185">
        <f t="shared" si="12"/>
        <v>7</v>
      </c>
      <c r="AU48" s="68"/>
      <c r="AV48" s="68"/>
      <c r="AW48" s="68"/>
      <c r="AX48" s="68"/>
      <c r="AY48" s="68"/>
      <c r="AZ48" s="68"/>
      <c r="BE48" s="55"/>
      <c r="BF48" s="55"/>
      <c r="BG48" s="55"/>
      <c r="BH48" s="55"/>
      <c r="BI48" s="55"/>
      <c r="BJ48" s="55"/>
      <c r="BT48" s="271"/>
      <c r="BU48" s="271"/>
      <c r="BV48" s="271"/>
      <c r="BW48" s="271"/>
      <c r="BX48" s="271"/>
      <c r="BY48" s="271"/>
      <c r="CI48" s="103"/>
      <c r="CJ48" s="298" t="s">
        <v>2607</v>
      </c>
      <c r="CK48" s="308">
        <v>-2.87</v>
      </c>
      <c r="CL48" s="294">
        <v>1</v>
      </c>
      <c r="CM48" s="288"/>
      <c r="CO48" s="287"/>
    </row>
    <row r="49" spans="1:93" ht="18.75" x14ac:dyDescent="0.25">
      <c r="A49" s="416"/>
      <c r="B49" s="151" t="str">
        <f>IF(C49&lt;0,"Σ Loss",B42)</f>
        <v>Σ Profit</v>
      </c>
      <c r="C49" s="200">
        <v>39808.485999999997</v>
      </c>
      <c r="D49" s="152">
        <f>C49/$C$53</f>
        <v>0.16504318690655675</v>
      </c>
      <c r="E49" s="420" t="s">
        <v>3112</v>
      </c>
      <c r="F49" s="215" t="s">
        <v>3090</v>
      </c>
      <c r="G49" s="68"/>
      <c r="H49" s="60"/>
      <c r="I49" s="68"/>
      <c r="J49" s="68"/>
      <c r="K49" s="68"/>
      <c r="L49" s="68"/>
      <c r="M49" s="68"/>
      <c r="N49" s="68"/>
      <c r="O49" s="68"/>
      <c r="P49" s="68"/>
      <c r="Q49" s="68"/>
      <c r="R49" s="68"/>
      <c r="S49" s="68"/>
      <c r="T49" s="55"/>
      <c r="U49" s="222" t="s">
        <v>633</v>
      </c>
      <c r="V49" s="360">
        <v>13491</v>
      </c>
      <c r="W49" s="353">
        <v>12072.956819999999</v>
      </c>
      <c r="X49" s="353">
        <v>236.06</v>
      </c>
      <c r="Y49" s="355">
        <v>530.14978000000019</v>
      </c>
      <c r="Z49" s="78"/>
      <c r="AA49" s="158" t="str">
        <f t="shared" si="18"/>
        <v>Vermont</v>
      </c>
      <c r="AB49" s="168">
        <v>13491</v>
      </c>
      <c r="AC49" s="144">
        <f t="shared" si="16"/>
        <v>1</v>
      </c>
      <c r="AD49" s="67"/>
      <c r="AE49" s="68"/>
      <c r="AF49" s="68"/>
      <c r="AG49" s="68"/>
      <c r="AH49" s="68"/>
      <c r="AI49" s="68"/>
      <c r="AJ49" s="68"/>
      <c r="AL49" s="222"/>
      <c r="AM49" s="392">
        <v>42047</v>
      </c>
      <c r="AN49" s="348">
        <v>3233.9</v>
      </c>
      <c r="AO49" s="146">
        <v>1262.82962</v>
      </c>
      <c r="AP49" s="147">
        <v>56</v>
      </c>
      <c r="AQ49" s="59">
        <v>42047</v>
      </c>
      <c r="AR49" s="180">
        <v>3233.9</v>
      </c>
      <c r="AS49" s="61">
        <f t="shared" si="11"/>
        <v>1</v>
      </c>
      <c r="AT49" s="185">
        <f t="shared" si="12"/>
        <v>7</v>
      </c>
      <c r="AU49" s="68"/>
      <c r="AV49" s="68"/>
      <c r="AW49" s="68"/>
      <c r="AX49" s="68"/>
      <c r="AY49" s="68"/>
      <c r="AZ49" s="68"/>
      <c r="BE49" s="55"/>
      <c r="BF49" s="55"/>
      <c r="BG49" s="55"/>
      <c r="BH49" s="55"/>
      <c r="BI49" s="55"/>
      <c r="BJ49" s="55"/>
      <c r="BT49" s="271"/>
      <c r="BU49" s="271"/>
      <c r="BV49" s="271"/>
      <c r="BW49" s="271"/>
      <c r="BX49" s="271"/>
      <c r="BY49" s="271"/>
      <c r="CI49" s="103"/>
      <c r="CJ49" s="283" t="s">
        <v>1385</v>
      </c>
      <c r="CK49" s="309">
        <v>-8.2799999999999994</v>
      </c>
      <c r="CL49" s="271">
        <v>2</v>
      </c>
      <c r="CM49" s="288"/>
      <c r="CO49" s="287"/>
    </row>
    <row r="50" spans="1:93" ht="19.5" thickBot="1" x14ac:dyDescent="0.3">
      <c r="A50" s="416"/>
      <c r="B50" s="151" t="str">
        <f>B43</f>
        <v>Σ Shipping</v>
      </c>
      <c r="C50" s="200">
        <v>3560.59</v>
      </c>
      <c r="D50" s="152">
        <f>C50/$C$53</f>
        <v>1.4761956052978678E-2</v>
      </c>
      <c r="E50" s="420" t="s">
        <v>3112</v>
      </c>
      <c r="F50" s="215" t="s">
        <v>3090</v>
      </c>
      <c r="G50" s="68"/>
      <c r="H50" s="60"/>
      <c r="I50" s="68"/>
      <c r="J50" s="68"/>
      <c r="K50" s="68"/>
      <c r="L50" s="68"/>
      <c r="M50" s="68"/>
      <c r="N50" s="68"/>
      <c r="O50" s="68"/>
      <c r="P50" s="68"/>
      <c r="Q50" s="68"/>
      <c r="R50" s="68"/>
      <c r="S50" s="68"/>
      <c r="T50" s="55"/>
      <c r="U50" s="222" t="s">
        <v>242</v>
      </c>
      <c r="V50" s="360">
        <v>45282.87</v>
      </c>
      <c r="W50" s="353">
        <v>44165.229599999999</v>
      </c>
      <c r="X50" s="353">
        <v>810.01</v>
      </c>
      <c r="Y50" s="355">
        <v>-1748.5516999999995</v>
      </c>
      <c r="Z50" s="78"/>
      <c r="AA50" s="158" t="str">
        <f t="shared" si="18"/>
        <v>Virginia</v>
      </c>
      <c r="AB50" s="168">
        <v>45282.87</v>
      </c>
      <c r="AC50" s="144">
        <f t="shared" si="16"/>
        <v>1</v>
      </c>
      <c r="AD50" s="67"/>
      <c r="AE50" s="68"/>
      <c r="AF50" s="68"/>
      <c r="AG50" s="68"/>
      <c r="AH50" s="68"/>
      <c r="AI50" s="68"/>
      <c r="AJ50" s="68"/>
      <c r="AL50" s="222"/>
      <c r="AM50" s="392">
        <v>42048</v>
      </c>
      <c r="AN50" s="348">
        <v>14090.4</v>
      </c>
      <c r="AO50" s="146">
        <v>3811.8667</v>
      </c>
      <c r="AP50" s="147">
        <v>101</v>
      </c>
      <c r="AQ50" s="59">
        <v>42048</v>
      </c>
      <c r="AR50" s="180">
        <v>14090.4</v>
      </c>
      <c r="AS50" s="61">
        <f t="shared" si="11"/>
        <v>1</v>
      </c>
      <c r="AT50" s="185">
        <f t="shared" si="12"/>
        <v>7</v>
      </c>
      <c r="AU50" s="68"/>
      <c r="AV50" s="68"/>
      <c r="AW50" s="68"/>
      <c r="AX50" s="68"/>
      <c r="AY50" s="68"/>
      <c r="AZ50" s="68"/>
      <c r="BE50" s="55"/>
      <c r="BF50" s="55"/>
      <c r="BG50" s="55"/>
      <c r="BH50" s="55"/>
      <c r="BI50" s="55"/>
      <c r="BJ50" s="55"/>
      <c r="BT50" s="271"/>
      <c r="BU50" s="271"/>
      <c r="BV50" s="271"/>
      <c r="BW50" s="271"/>
      <c r="BX50" s="271"/>
      <c r="BY50" s="271"/>
      <c r="CI50" s="103"/>
      <c r="CJ50" s="289" t="s">
        <v>2645</v>
      </c>
      <c r="CK50" s="310">
        <v>-5.54</v>
      </c>
      <c r="CL50" s="411">
        <v>1</v>
      </c>
      <c r="CM50" s="301"/>
      <c r="CN50" s="291"/>
      <c r="CO50" s="292"/>
    </row>
    <row r="51" spans="1:93" ht="18.75" x14ac:dyDescent="0.25">
      <c r="A51" s="416"/>
      <c r="B51" s="151" t="str">
        <f>B44</f>
        <v>Σ Costs</v>
      </c>
      <c r="C51" s="200">
        <v>185578.72030000004</v>
      </c>
      <c r="D51" s="152">
        <f>C51/$C$53</f>
        <v>0.76939633977420108</v>
      </c>
      <c r="E51" s="420" t="s">
        <v>3112</v>
      </c>
      <c r="F51" s="215" t="s">
        <v>3090</v>
      </c>
      <c r="G51" s="68"/>
      <c r="H51" s="60"/>
      <c r="I51" s="68"/>
      <c r="J51" s="68"/>
      <c r="K51" s="68"/>
      <c r="L51" s="68"/>
      <c r="M51" s="68"/>
      <c r="N51" s="68"/>
      <c r="O51" s="68"/>
      <c r="P51" s="68"/>
      <c r="Q51" s="68"/>
      <c r="R51" s="68"/>
      <c r="S51" s="68"/>
      <c r="T51" s="55"/>
      <c r="U51" s="222" t="s">
        <v>67</v>
      </c>
      <c r="V51" s="360">
        <v>78048.649999999994</v>
      </c>
      <c r="W51" s="353">
        <v>73868.766250000001</v>
      </c>
      <c r="X51" s="353">
        <v>601.91</v>
      </c>
      <c r="Y51" s="355">
        <v>116.21885000000084</v>
      </c>
      <c r="Z51" s="78"/>
      <c r="AA51" s="158" t="str">
        <f t="shared" si="18"/>
        <v>Washington</v>
      </c>
      <c r="AB51" s="168">
        <v>78048.649999999994</v>
      </c>
      <c r="AC51" s="144">
        <f t="shared" si="16"/>
        <v>1</v>
      </c>
      <c r="AD51" s="67"/>
      <c r="AE51" s="68"/>
      <c r="AF51" s="68"/>
      <c r="AG51" s="68"/>
      <c r="AH51" s="68"/>
      <c r="AI51" s="68"/>
      <c r="AJ51" s="68"/>
      <c r="AL51" s="222"/>
      <c r="AM51" s="392">
        <v>42049</v>
      </c>
      <c r="AN51" s="348">
        <v>22401.48</v>
      </c>
      <c r="AO51" s="146">
        <v>3537.2705800000003</v>
      </c>
      <c r="AP51" s="147">
        <v>353</v>
      </c>
      <c r="AQ51" s="59">
        <v>42049</v>
      </c>
      <c r="AR51" s="180">
        <v>22401.48</v>
      </c>
      <c r="AS51" s="61">
        <f t="shared" si="11"/>
        <v>1</v>
      </c>
      <c r="AT51" s="185">
        <f t="shared" si="12"/>
        <v>7</v>
      </c>
      <c r="AU51" s="68"/>
      <c r="AV51" s="68"/>
      <c r="AW51" s="68"/>
      <c r="AX51" s="68"/>
      <c r="AY51" s="68"/>
      <c r="AZ51" s="68"/>
      <c r="BE51" s="55"/>
      <c r="BF51" s="55"/>
      <c r="BG51" s="55"/>
      <c r="BH51" s="55"/>
      <c r="BI51" s="55"/>
      <c r="BJ51" s="55"/>
      <c r="BT51" s="271"/>
      <c r="BU51" s="271"/>
      <c r="BV51" s="271"/>
      <c r="BW51" s="271"/>
      <c r="BX51" s="271"/>
      <c r="BY51" s="271"/>
      <c r="CI51" s="103"/>
      <c r="CJ51" s="271"/>
      <c r="CK51" s="271"/>
      <c r="CL51" s="271"/>
    </row>
    <row r="52" spans="1:93" ht="15.75" thickBot="1" x14ac:dyDescent="0.3">
      <c r="A52" s="416"/>
      <c r="B52" s="413"/>
      <c r="C52" s="414"/>
      <c r="D52" s="415"/>
      <c r="E52" s="6"/>
      <c r="F52" s="68"/>
      <c r="G52" s="68"/>
      <c r="H52" s="60"/>
      <c r="I52" s="68"/>
      <c r="J52" s="68"/>
      <c r="K52" s="68"/>
      <c r="L52" s="68"/>
      <c r="M52" s="68"/>
      <c r="N52" s="68"/>
      <c r="O52" s="68"/>
      <c r="P52" s="68"/>
      <c r="Q52" s="68"/>
      <c r="R52" s="68"/>
      <c r="S52" s="68"/>
      <c r="T52" s="55"/>
      <c r="U52" s="222" t="s">
        <v>903</v>
      </c>
      <c r="V52" s="360">
        <v>10681.55</v>
      </c>
      <c r="W52" s="353">
        <v>5578.1517749999985</v>
      </c>
      <c r="X52" s="353">
        <v>132.79</v>
      </c>
      <c r="Y52" s="355">
        <v>4771.4638249999989</v>
      </c>
      <c r="Z52" s="78"/>
      <c r="AA52" s="158" t="str">
        <f t="shared" si="18"/>
        <v>West Virginia</v>
      </c>
      <c r="AB52" s="168">
        <v>10681.55</v>
      </c>
      <c r="AC52" s="144">
        <f t="shared" si="16"/>
        <v>1</v>
      </c>
      <c r="AD52" s="67"/>
      <c r="AE52" s="68"/>
      <c r="AF52" s="68"/>
      <c r="AG52" s="68"/>
      <c r="AH52" s="68"/>
      <c r="AI52" s="68"/>
      <c r="AJ52" s="68"/>
      <c r="AL52" s="222"/>
      <c r="AM52" s="392">
        <v>42050</v>
      </c>
      <c r="AN52" s="348">
        <v>16533.18</v>
      </c>
      <c r="AO52" s="146">
        <v>2709.6407160000008</v>
      </c>
      <c r="AP52" s="147">
        <v>189</v>
      </c>
      <c r="AQ52" s="59">
        <v>42050</v>
      </c>
      <c r="AR52" s="180">
        <v>16533.18</v>
      </c>
      <c r="AS52" s="61">
        <f t="shared" si="11"/>
        <v>1</v>
      </c>
      <c r="AT52" s="185">
        <f t="shared" si="12"/>
        <v>8</v>
      </c>
      <c r="AU52" s="68"/>
      <c r="AV52" s="68"/>
      <c r="AW52" s="68"/>
      <c r="AX52" s="68"/>
      <c r="AY52" s="68"/>
      <c r="AZ52" s="68"/>
      <c r="BE52" s="55"/>
      <c r="BF52" s="55"/>
      <c r="BG52" s="55"/>
      <c r="BH52" s="55"/>
      <c r="BI52" s="55"/>
      <c r="BJ52" s="55"/>
      <c r="BT52" s="271"/>
      <c r="BU52" s="271"/>
      <c r="BV52" s="271"/>
      <c r="BW52" s="271"/>
      <c r="BX52" s="271"/>
      <c r="BY52" s="271"/>
    </row>
    <row r="53" spans="1:93" ht="15.75" thickBot="1" x14ac:dyDescent="0.3">
      <c r="B53" s="159"/>
      <c r="C53" s="160">
        <f>SUM(_xlfn.ANCHORARRAY(C48))</f>
        <v>241200.42000000004</v>
      </c>
      <c r="D53" s="161">
        <f>SUM(D48:D51)</f>
        <v>1</v>
      </c>
      <c r="E53" s="68"/>
      <c r="F53" s="68"/>
      <c r="G53" s="68"/>
      <c r="H53" s="60"/>
      <c r="I53" s="68"/>
      <c r="J53" s="68"/>
      <c r="K53" s="68"/>
      <c r="L53" s="68"/>
      <c r="M53" s="68"/>
      <c r="N53" s="68"/>
      <c r="O53" s="68"/>
      <c r="P53" s="68"/>
      <c r="Q53" s="68"/>
      <c r="R53" s="68"/>
      <c r="S53" s="68"/>
      <c r="T53" s="55"/>
      <c r="U53" s="222" t="s">
        <v>357</v>
      </c>
      <c r="V53" s="360">
        <v>22770.35</v>
      </c>
      <c r="W53" s="353">
        <v>17155.860839999994</v>
      </c>
      <c r="X53" s="353">
        <v>404.98</v>
      </c>
      <c r="Y53" s="355">
        <v>3986.4100599999974</v>
      </c>
      <c r="Z53" s="78"/>
      <c r="AA53" s="158" t="str">
        <f t="shared" si="18"/>
        <v>Wisconsin</v>
      </c>
      <c r="AB53" s="168">
        <v>22770.35</v>
      </c>
      <c r="AC53" s="144">
        <f t="shared" si="16"/>
        <v>1</v>
      </c>
      <c r="AD53" s="67"/>
      <c r="AE53" s="68"/>
      <c r="AF53" s="68"/>
      <c r="AG53" s="68"/>
      <c r="AH53" s="68"/>
      <c r="AI53" s="68"/>
      <c r="AJ53" s="68"/>
      <c r="AL53" s="222"/>
      <c r="AM53" s="392">
        <v>42051</v>
      </c>
      <c r="AN53" s="348">
        <v>16120.57</v>
      </c>
      <c r="AO53" s="146">
        <v>170.10927092000014</v>
      </c>
      <c r="AP53" s="147">
        <v>199</v>
      </c>
      <c r="AQ53" s="59">
        <v>42051</v>
      </c>
      <c r="AR53" s="180">
        <v>16120.57</v>
      </c>
      <c r="AS53" s="61">
        <f t="shared" si="11"/>
        <v>1</v>
      </c>
      <c r="AT53" s="185">
        <f t="shared" si="12"/>
        <v>8</v>
      </c>
      <c r="AU53" s="68"/>
      <c r="AV53" s="68"/>
      <c r="AW53" s="68"/>
      <c r="AX53" s="68"/>
      <c r="AY53" s="68"/>
      <c r="AZ53" s="68"/>
      <c r="BE53" s="55"/>
      <c r="BF53" s="55"/>
      <c r="BG53" s="55"/>
      <c r="BH53" s="55"/>
      <c r="BI53" s="55"/>
      <c r="BJ53" s="55"/>
      <c r="BT53" s="271"/>
      <c r="BU53" s="271"/>
      <c r="BV53" s="271"/>
      <c r="BW53" s="271"/>
      <c r="BX53" s="271"/>
      <c r="BY53" s="271"/>
    </row>
    <row r="54" spans="1:93" ht="15.75" thickBot="1" x14ac:dyDescent="0.3">
      <c r="B54" s="97"/>
      <c r="C54" s="97"/>
      <c r="D54" s="98"/>
      <c r="E54" s="98"/>
      <c r="F54" s="98"/>
      <c r="G54" s="98"/>
      <c r="H54" s="99"/>
      <c r="I54" s="98"/>
      <c r="J54" s="98"/>
      <c r="K54" s="98"/>
      <c r="L54" s="98"/>
      <c r="M54" s="98"/>
      <c r="N54" s="98"/>
      <c r="O54" s="98"/>
      <c r="P54" s="98"/>
      <c r="Q54" s="98"/>
      <c r="R54" s="98"/>
      <c r="S54" s="98"/>
      <c r="T54" s="55"/>
      <c r="U54" s="223" t="s">
        <v>1060</v>
      </c>
      <c r="V54" s="362">
        <v>1183.54</v>
      </c>
      <c r="W54" s="357">
        <v>372.01139999999998</v>
      </c>
      <c r="X54" s="357">
        <v>22.8</v>
      </c>
      <c r="Y54" s="358">
        <v>735.22500000000002</v>
      </c>
      <c r="Z54" s="100"/>
      <c r="AA54" s="101" t="str">
        <f>U54</f>
        <v>Wyoming</v>
      </c>
      <c r="AB54" s="102">
        <v>1183.54</v>
      </c>
      <c r="AC54" s="172">
        <f t="shared" si="16"/>
        <v>1</v>
      </c>
      <c r="AD54" s="67"/>
      <c r="AE54" s="68"/>
      <c r="AF54" s="68"/>
      <c r="AG54" s="68"/>
      <c r="AH54" s="68"/>
      <c r="AI54" s="68"/>
      <c r="AJ54" s="68"/>
      <c r="AL54" s="222"/>
      <c r="AM54" s="392">
        <v>42052</v>
      </c>
      <c r="AN54" s="348">
        <v>1076.3900000000001</v>
      </c>
      <c r="AO54" s="146">
        <v>516.97569999999996</v>
      </c>
      <c r="AP54" s="147">
        <v>25</v>
      </c>
      <c r="AQ54" s="59">
        <v>42052</v>
      </c>
      <c r="AR54" s="180">
        <v>1076.3900000000001</v>
      </c>
      <c r="AS54" s="61">
        <f t="shared" si="11"/>
        <v>1</v>
      </c>
      <c r="AT54" s="185">
        <f t="shared" si="12"/>
        <v>8</v>
      </c>
      <c r="AU54" s="68"/>
      <c r="AV54" s="68"/>
      <c r="AW54" s="68"/>
      <c r="AX54" s="68"/>
      <c r="AY54" s="68"/>
      <c r="AZ54" s="68"/>
      <c r="BE54" s="55"/>
      <c r="BF54" s="55"/>
      <c r="BG54" s="55"/>
      <c r="BH54" s="55"/>
      <c r="BI54" s="55"/>
      <c r="BJ54" s="55"/>
      <c r="BT54" s="271"/>
      <c r="BU54" s="271"/>
      <c r="BV54" s="271"/>
      <c r="BW54" s="271"/>
      <c r="BX54" s="271"/>
      <c r="BY54" s="271"/>
    </row>
    <row r="55" spans="1:93" x14ac:dyDescent="0.25">
      <c r="B55" s="97"/>
      <c r="C55" s="97"/>
      <c r="D55" s="98"/>
      <c r="E55" s="98"/>
      <c r="F55" s="98"/>
      <c r="G55" s="98"/>
      <c r="H55" s="98"/>
      <c r="I55" s="98"/>
      <c r="J55" s="98"/>
      <c r="K55" s="98"/>
      <c r="L55" s="98"/>
      <c r="M55" s="98"/>
      <c r="N55" s="98"/>
      <c r="O55" s="98"/>
      <c r="P55" s="98"/>
      <c r="Q55" s="98"/>
      <c r="R55" s="98"/>
      <c r="S55" s="98"/>
      <c r="T55" s="55"/>
      <c r="U55" s="143"/>
      <c r="V55" s="68"/>
      <c r="W55" s="68"/>
      <c r="X55" s="68"/>
      <c r="Y55" s="68"/>
      <c r="Z55" s="68"/>
      <c r="AA55" s="158" t="s">
        <v>3051</v>
      </c>
      <c r="AB55" s="168">
        <f>SUM(_xlfn.ANCHORARRAY(AB6))</f>
        <v>1881524.7700000003</v>
      </c>
      <c r="AC55" s="144">
        <f>SUM(AC6:AC54)</f>
        <v>49</v>
      </c>
      <c r="AD55" s="67"/>
      <c r="AE55" s="68"/>
      <c r="AF55" s="68"/>
      <c r="AG55" s="68"/>
      <c r="AH55" s="68"/>
      <c r="AI55" s="68"/>
      <c r="AJ55" s="68"/>
      <c r="AL55" s="222"/>
      <c r="AM55" s="392">
        <v>42053</v>
      </c>
      <c r="AN55" s="348">
        <v>28264.33</v>
      </c>
      <c r="AO55" s="146">
        <v>3792.8698599999998</v>
      </c>
      <c r="AP55" s="147">
        <v>131</v>
      </c>
      <c r="AQ55" s="59">
        <v>42053</v>
      </c>
      <c r="AR55" s="180">
        <v>28264.33</v>
      </c>
      <c r="AS55" s="61">
        <f t="shared" si="11"/>
        <v>1</v>
      </c>
      <c r="AT55" s="185">
        <f t="shared" si="12"/>
        <v>8</v>
      </c>
      <c r="AU55" s="68"/>
      <c r="AV55" s="68"/>
      <c r="AW55" s="68"/>
      <c r="AX55" s="68"/>
      <c r="AY55" s="68"/>
      <c r="AZ55" s="68"/>
      <c r="BE55" s="55"/>
      <c r="BF55" s="55"/>
      <c r="BG55" s="55"/>
      <c r="BH55" s="55"/>
      <c r="BI55" s="55"/>
      <c r="BJ55" s="55"/>
      <c r="BT55" s="271"/>
      <c r="BU55" s="271"/>
      <c r="BV55" s="271"/>
      <c r="BW55" s="271"/>
      <c r="BX55" s="271"/>
      <c r="BY55" s="271"/>
    </row>
    <row r="56" spans="1:93" ht="15.75" thickBot="1" x14ac:dyDescent="0.3">
      <c r="B56" s="97"/>
      <c r="C56" s="97"/>
      <c r="D56" s="98"/>
      <c r="E56" s="98"/>
      <c r="F56" s="98"/>
      <c r="G56" s="98"/>
      <c r="H56" s="98"/>
      <c r="I56" s="98"/>
      <c r="J56" s="98"/>
      <c r="K56" s="98"/>
      <c r="L56" s="98"/>
      <c r="M56" s="98"/>
      <c r="N56" s="98"/>
      <c r="O56" s="98"/>
      <c r="P56" s="98"/>
      <c r="Q56" s="98"/>
      <c r="R56" s="98"/>
      <c r="S56" s="98"/>
      <c r="T56" s="55"/>
      <c r="U56" s="173"/>
      <c r="V56" s="174"/>
      <c r="W56" s="174"/>
      <c r="X56" s="174"/>
      <c r="Y56" s="174"/>
      <c r="Z56" s="175"/>
      <c r="AA56" s="176" t="s">
        <v>3042</v>
      </c>
      <c r="AB56" s="177">
        <f>SUM(AB6:AB54)/AC55</f>
        <v>38398.464693877555</v>
      </c>
      <c r="AC56" s="178"/>
      <c r="AD56" s="67"/>
      <c r="AE56" s="68"/>
      <c r="AF56" s="68"/>
      <c r="AG56" s="68"/>
      <c r="AH56" s="68"/>
      <c r="AI56" s="68"/>
      <c r="AJ56" s="68"/>
      <c r="AL56" s="222"/>
      <c r="AM56" s="392">
        <v>42054</v>
      </c>
      <c r="AN56" s="348">
        <v>2676.23</v>
      </c>
      <c r="AO56" s="146">
        <v>1117.3809200000001</v>
      </c>
      <c r="AP56" s="147">
        <v>100</v>
      </c>
      <c r="AQ56" s="59">
        <v>42054</v>
      </c>
      <c r="AR56" s="180">
        <v>2676.23</v>
      </c>
      <c r="AS56" s="61">
        <f t="shared" si="11"/>
        <v>1</v>
      </c>
      <c r="AT56" s="185">
        <f t="shared" si="12"/>
        <v>8</v>
      </c>
      <c r="AU56" s="68"/>
      <c r="AV56" s="68"/>
      <c r="AW56" s="68"/>
      <c r="AX56" s="68"/>
      <c r="AY56" s="68"/>
      <c r="AZ56" s="68"/>
      <c r="BE56" s="55"/>
      <c r="BF56" s="55"/>
      <c r="BG56" s="55"/>
      <c r="BH56" s="55"/>
      <c r="BI56" s="55"/>
      <c r="BJ56" s="55"/>
      <c r="BT56" s="271"/>
      <c r="BU56" s="271"/>
      <c r="BV56" s="271"/>
      <c r="BW56" s="271"/>
      <c r="BX56" s="271"/>
      <c r="BY56" s="271"/>
    </row>
    <row r="57" spans="1:93" x14ac:dyDescent="0.25">
      <c r="B57" s="97"/>
      <c r="C57" s="97"/>
      <c r="D57" s="98"/>
      <c r="E57" s="98"/>
      <c r="F57" s="98"/>
      <c r="G57" s="98"/>
      <c r="H57" s="98"/>
      <c r="I57" s="98"/>
      <c r="J57" s="98"/>
      <c r="K57" s="98"/>
      <c r="L57" s="98"/>
      <c r="M57" s="98"/>
      <c r="N57" s="98"/>
      <c r="O57" s="98"/>
      <c r="P57" s="98"/>
      <c r="Q57" s="98"/>
      <c r="R57" s="98"/>
      <c r="S57" s="98"/>
      <c r="T57" s="55"/>
      <c r="U57" s="103"/>
      <c r="V57" s="104"/>
      <c r="W57" s="104"/>
      <c r="X57" s="104"/>
      <c r="Y57" s="104"/>
      <c r="AB57" s="105"/>
      <c r="AL57" s="222"/>
      <c r="AM57" s="392">
        <v>42055</v>
      </c>
      <c r="AN57" s="348">
        <v>5978.24</v>
      </c>
      <c r="AO57" s="146">
        <v>-1926.2887799999996</v>
      </c>
      <c r="AP57" s="147">
        <v>209</v>
      </c>
      <c r="AQ57" s="59">
        <v>42055</v>
      </c>
      <c r="AR57" s="180">
        <v>5978.24</v>
      </c>
      <c r="AS57" s="61">
        <f t="shared" si="11"/>
        <v>1</v>
      </c>
      <c r="AT57" s="185">
        <f t="shared" si="12"/>
        <v>8</v>
      </c>
      <c r="AU57" s="68"/>
      <c r="AV57" s="68"/>
      <c r="AW57" s="68"/>
      <c r="AX57" s="68"/>
      <c r="AY57" s="68"/>
      <c r="AZ57" s="68"/>
      <c r="BE57" s="55"/>
      <c r="BF57" s="55"/>
      <c r="BG57" s="55"/>
      <c r="BH57" s="55"/>
      <c r="BI57" s="55"/>
      <c r="BJ57" s="55"/>
      <c r="BT57" s="271"/>
      <c r="BU57" s="271"/>
      <c r="BV57" s="271"/>
      <c r="BW57" s="271"/>
      <c r="BX57" s="271"/>
      <c r="BY57" s="271"/>
    </row>
    <row r="58" spans="1:93" x14ac:dyDescent="0.25">
      <c r="B58" s="97"/>
      <c r="C58" s="97"/>
      <c r="D58" s="98"/>
      <c r="E58" s="98"/>
      <c r="F58" s="98"/>
      <c r="G58" s="98"/>
      <c r="H58" s="106"/>
      <c r="I58" s="106"/>
      <c r="J58" s="98"/>
      <c r="K58" s="98"/>
      <c r="L58" s="98"/>
      <c r="M58" s="98"/>
      <c r="N58" s="98"/>
      <c r="O58" s="98"/>
      <c r="P58" s="98"/>
      <c r="Q58" s="98"/>
      <c r="R58" s="107"/>
      <c r="S58" s="107"/>
      <c r="AL58" s="222"/>
      <c r="AM58" s="392">
        <v>42056</v>
      </c>
      <c r="AN58" s="348">
        <v>56764.54</v>
      </c>
      <c r="AO58" s="146">
        <v>11176.579539999999</v>
      </c>
      <c r="AP58" s="147">
        <v>101</v>
      </c>
      <c r="AQ58" s="59">
        <v>42056</v>
      </c>
      <c r="AR58" s="180">
        <v>56764.54</v>
      </c>
      <c r="AS58" s="61">
        <f t="shared" si="11"/>
        <v>1</v>
      </c>
      <c r="AT58" s="185">
        <f t="shared" si="12"/>
        <v>8</v>
      </c>
      <c r="AU58" s="68"/>
      <c r="AV58" s="68"/>
      <c r="AW58" s="68"/>
      <c r="AX58" s="68"/>
      <c r="AY58" s="68"/>
      <c r="AZ58" s="68"/>
      <c r="BE58" s="55"/>
      <c r="BF58" s="55"/>
      <c r="BG58" s="55"/>
      <c r="BH58" s="55"/>
      <c r="BI58" s="55"/>
      <c r="BJ58" s="55"/>
      <c r="BT58" s="271"/>
      <c r="BU58" s="271"/>
      <c r="BV58" s="271"/>
      <c r="BW58" s="271"/>
      <c r="BX58" s="271"/>
      <c r="BY58" s="271"/>
      <c r="CI58" s="103"/>
      <c r="CJ58" s="271"/>
      <c r="CK58" s="271"/>
      <c r="CL58" s="271"/>
    </row>
    <row r="59" spans="1:93" x14ac:dyDescent="0.25">
      <c r="B59" s="97"/>
      <c r="C59" s="97"/>
      <c r="D59" s="98"/>
      <c r="E59" s="98"/>
      <c r="F59" s="98"/>
      <c r="G59" s="98"/>
      <c r="H59" s="106"/>
      <c r="I59" s="106"/>
      <c r="J59" s="98"/>
      <c r="K59" s="98"/>
      <c r="L59" s="98"/>
      <c r="M59" s="98"/>
      <c r="N59" s="98"/>
      <c r="O59" s="98"/>
      <c r="P59" s="98"/>
      <c r="Q59" s="98"/>
      <c r="R59" s="107"/>
      <c r="S59" s="107"/>
      <c r="AL59" s="222"/>
      <c r="AM59" s="392">
        <v>42057</v>
      </c>
      <c r="AN59" s="348">
        <v>11464.77</v>
      </c>
      <c r="AO59" s="146">
        <v>3269.5944</v>
      </c>
      <c r="AP59" s="147">
        <v>103</v>
      </c>
      <c r="AQ59" s="59">
        <v>42057</v>
      </c>
      <c r="AR59" s="180">
        <v>11464.77</v>
      </c>
      <c r="AS59" s="61">
        <f t="shared" si="11"/>
        <v>1</v>
      </c>
      <c r="AT59" s="185">
        <f t="shared" si="12"/>
        <v>9</v>
      </c>
      <c r="AU59" s="68"/>
      <c r="AV59" s="68"/>
      <c r="AW59" s="68"/>
      <c r="AX59" s="68"/>
      <c r="AY59" s="68"/>
      <c r="AZ59" s="68"/>
      <c r="BE59" s="55"/>
      <c r="BF59" s="55"/>
      <c r="BG59" s="55"/>
      <c r="BH59" s="55"/>
      <c r="BI59" s="55"/>
      <c r="BJ59" s="55"/>
      <c r="BT59" s="271"/>
      <c r="BU59" s="271"/>
      <c r="BV59" s="271"/>
      <c r="BW59" s="271"/>
      <c r="BX59" s="271"/>
      <c r="BY59" s="271"/>
    </row>
    <row r="60" spans="1:93" x14ac:dyDescent="0.25">
      <c r="B60" s="97"/>
      <c r="C60" s="97"/>
      <c r="D60" s="98"/>
      <c r="E60" s="98"/>
      <c r="F60" s="98"/>
      <c r="G60" s="98"/>
      <c r="H60" s="106"/>
      <c r="I60" s="106"/>
      <c r="J60" s="98"/>
      <c r="K60" s="98"/>
      <c r="L60" s="98"/>
      <c r="M60" s="98"/>
      <c r="N60" s="98"/>
      <c r="O60" s="98"/>
      <c r="P60" s="98"/>
      <c r="Q60" s="98"/>
      <c r="R60" s="107"/>
      <c r="S60" s="107"/>
      <c r="AL60" s="222"/>
      <c r="AM60" s="392">
        <v>42058</v>
      </c>
      <c r="AN60" s="348">
        <v>6812.64</v>
      </c>
      <c r="AO60" s="146">
        <v>-1711.4147204000001</v>
      </c>
      <c r="AP60" s="147">
        <v>93</v>
      </c>
      <c r="AQ60" s="59">
        <v>42058</v>
      </c>
      <c r="AR60" s="180">
        <v>6812.64</v>
      </c>
      <c r="AS60" s="61">
        <f t="shared" si="11"/>
        <v>1</v>
      </c>
      <c r="AT60" s="185">
        <f t="shared" si="12"/>
        <v>9</v>
      </c>
      <c r="AU60" s="68"/>
      <c r="AV60" s="68"/>
      <c r="AW60" s="68"/>
      <c r="AX60" s="68"/>
      <c r="AY60" s="68"/>
      <c r="AZ60" s="68"/>
      <c r="BE60" s="55"/>
      <c r="BF60" s="55"/>
      <c r="BG60" s="55"/>
      <c r="BH60" s="55"/>
      <c r="BI60" s="55"/>
      <c r="BJ60" s="55"/>
      <c r="BT60" s="271"/>
      <c r="BU60" s="271"/>
      <c r="BV60" s="271"/>
      <c r="BW60" s="271"/>
      <c r="BX60" s="271"/>
      <c r="BY60" s="271"/>
    </row>
    <row r="61" spans="1:93" x14ac:dyDescent="0.25">
      <c r="B61" s="97"/>
      <c r="C61" s="97"/>
      <c r="D61" s="98"/>
      <c r="E61" s="98"/>
      <c r="F61" s="98"/>
      <c r="G61" s="98"/>
      <c r="H61" s="106"/>
      <c r="I61" s="106"/>
      <c r="J61" s="98"/>
      <c r="K61" s="98"/>
      <c r="L61" s="98"/>
      <c r="M61" s="98"/>
      <c r="N61" s="98"/>
      <c r="O61" s="98"/>
      <c r="P61" s="98"/>
      <c r="Q61" s="98"/>
      <c r="R61" s="107"/>
      <c r="S61" s="107"/>
      <c r="AL61" s="222"/>
      <c r="AM61" s="392">
        <v>42059</v>
      </c>
      <c r="AN61" s="348">
        <v>5160.96</v>
      </c>
      <c r="AO61" s="146">
        <v>2713.4770999999996</v>
      </c>
      <c r="AP61" s="147">
        <v>50</v>
      </c>
      <c r="AQ61" s="59">
        <v>42059</v>
      </c>
      <c r="AR61" s="180">
        <v>5160.96</v>
      </c>
      <c r="AS61" s="61">
        <f t="shared" si="11"/>
        <v>1</v>
      </c>
      <c r="AT61" s="185">
        <f t="shared" si="12"/>
        <v>9</v>
      </c>
      <c r="AU61" s="68"/>
      <c r="AV61" s="68"/>
      <c r="AW61" s="68"/>
      <c r="AX61" s="68"/>
      <c r="AY61" s="68"/>
      <c r="AZ61" s="68"/>
      <c r="BE61" s="55"/>
      <c r="BF61" s="55"/>
      <c r="BG61" s="55"/>
      <c r="BH61" s="55"/>
      <c r="BI61" s="55"/>
      <c r="BJ61" s="55"/>
      <c r="BT61" s="271"/>
      <c r="BU61" s="271"/>
      <c r="BV61" s="271"/>
      <c r="BW61" s="271"/>
      <c r="BX61" s="271"/>
      <c r="BY61" s="271"/>
    </row>
    <row r="62" spans="1:93" x14ac:dyDescent="0.25">
      <c r="B62" s="97"/>
      <c r="C62" s="97"/>
      <c r="D62" s="98"/>
      <c r="E62" s="98"/>
      <c r="F62" s="98"/>
      <c r="G62" s="98"/>
      <c r="H62" s="106"/>
      <c r="I62" s="106"/>
      <c r="J62" s="98"/>
      <c r="K62" s="98"/>
      <c r="L62" s="98"/>
      <c r="M62" s="98"/>
      <c r="N62" s="98"/>
      <c r="O62" s="98"/>
      <c r="P62" s="98"/>
      <c r="Q62" s="98"/>
      <c r="R62" s="107"/>
      <c r="S62" s="107"/>
      <c r="AL62" s="222"/>
      <c r="AM62" s="392">
        <v>42060</v>
      </c>
      <c r="AN62" s="348">
        <v>10752.13</v>
      </c>
      <c r="AO62" s="146">
        <v>1202.8011000000006</v>
      </c>
      <c r="AP62" s="147">
        <v>246</v>
      </c>
      <c r="AQ62" s="59">
        <v>42060</v>
      </c>
      <c r="AR62" s="180">
        <v>10752.13</v>
      </c>
      <c r="AS62" s="61">
        <f t="shared" si="11"/>
        <v>1</v>
      </c>
      <c r="AT62" s="185">
        <f t="shared" si="12"/>
        <v>9</v>
      </c>
      <c r="AU62" s="68"/>
      <c r="AV62" s="68"/>
      <c r="AW62" s="68"/>
      <c r="AX62" s="68"/>
      <c r="AY62" s="68"/>
      <c r="AZ62" s="68"/>
      <c r="BE62" s="55"/>
      <c r="BF62" s="55"/>
      <c r="BG62" s="55"/>
      <c r="BH62" s="55"/>
      <c r="BI62" s="55"/>
      <c r="BJ62" s="55"/>
      <c r="BT62" s="271"/>
      <c r="BU62" s="271"/>
      <c r="BV62" s="271"/>
      <c r="BW62" s="271"/>
      <c r="BX62" s="271"/>
      <c r="BY62" s="271"/>
    </row>
    <row r="63" spans="1:93" x14ac:dyDescent="0.25">
      <c r="B63" s="97"/>
      <c r="C63" s="97"/>
      <c r="D63" s="98"/>
      <c r="E63" s="98"/>
      <c r="F63" s="98"/>
      <c r="G63" s="98"/>
      <c r="H63" s="106"/>
      <c r="I63" s="106"/>
      <c r="J63" s="98"/>
      <c r="K63" s="98"/>
      <c r="L63" s="98"/>
      <c r="M63" s="98"/>
      <c r="N63" s="98"/>
      <c r="O63" s="98"/>
      <c r="P63" s="98"/>
      <c r="Q63" s="98"/>
      <c r="R63" s="107"/>
      <c r="S63" s="107"/>
      <c r="AL63" s="222"/>
      <c r="AM63" s="392">
        <v>42061</v>
      </c>
      <c r="AN63" s="348">
        <v>5425.5</v>
      </c>
      <c r="AO63" s="146">
        <v>2364.9735999999998</v>
      </c>
      <c r="AP63" s="147">
        <v>79</v>
      </c>
      <c r="AQ63" s="59">
        <v>42061</v>
      </c>
      <c r="AR63" s="180">
        <v>5425.5</v>
      </c>
      <c r="AS63" s="61">
        <f t="shared" si="11"/>
        <v>1</v>
      </c>
      <c r="AT63" s="185">
        <f t="shared" si="12"/>
        <v>9</v>
      </c>
      <c r="AU63" s="68"/>
      <c r="AV63" s="68"/>
      <c r="AW63" s="68"/>
      <c r="AX63" s="68"/>
      <c r="AY63" s="68"/>
      <c r="AZ63" s="68"/>
      <c r="BE63" s="55"/>
      <c r="BF63" s="55"/>
      <c r="BG63" s="55"/>
      <c r="BH63" s="55"/>
      <c r="BI63" s="55"/>
      <c r="BJ63" s="55"/>
      <c r="BT63" s="271"/>
      <c r="BU63" s="271"/>
      <c r="BV63" s="271"/>
      <c r="BW63" s="271"/>
      <c r="BX63" s="271"/>
      <c r="BY63" s="271"/>
    </row>
    <row r="64" spans="1:93" x14ac:dyDescent="0.25">
      <c r="B64" s="97"/>
      <c r="C64" s="97"/>
      <c r="D64" s="98"/>
      <c r="E64" s="98"/>
      <c r="F64" s="98"/>
      <c r="G64" s="98"/>
      <c r="H64" s="106"/>
      <c r="I64" s="106"/>
      <c r="J64" s="98"/>
      <c r="K64" s="98"/>
      <c r="L64" s="98"/>
      <c r="M64" s="98"/>
      <c r="N64" s="98"/>
      <c r="O64" s="98"/>
      <c r="P64" s="98"/>
      <c r="Q64" s="98"/>
      <c r="R64" s="107"/>
      <c r="S64" s="107"/>
      <c r="AL64" s="222"/>
      <c r="AM64" s="392">
        <v>42062</v>
      </c>
      <c r="AN64" s="348">
        <v>3537.5</v>
      </c>
      <c r="AO64" s="146">
        <v>328.58538000000016</v>
      </c>
      <c r="AP64" s="147">
        <v>195</v>
      </c>
      <c r="AQ64" s="59">
        <v>42062</v>
      </c>
      <c r="AR64" s="180">
        <v>3537.5</v>
      </c>
      <c r="AS64" s="61">
        <f t="shared" si="11"/>
        <v>1</v>
      </c>
      <c r="AT64" s="185">
        <f t="shared" si="12"/>
        <v>9</v>
      </c>
      <c r="AU64" s="68"/>
      <c r="AV64" s="68"/>
      <c r="AW64" s="68"/>
      <c r="AX64" s="68"/>
      <c r="AY64" s="68"/>
      <c r="AZ64" s="68"/>
      <c r="BE64" s="55"/>
      <c r="BF64" s="55"/>
      <c r="BG64" s="55"/>
      <c r="BH64" s="55"/>
      <c r="BI64" s="55"/>
      <c r="BJ64" s="55"/>
      <c r="BT64" s="271"/>
      <c r="BU64" s="271"/>
      <c r="BV64" s="271"/>
      <c r="BW64" s="271"/>
      <c r="BX64" s="271"/>
      <c r="BY64" s="271"/>
    </row>
    <row r="65" spans="2:77" ht="15.75" thickBot="1" x14ac:dyDescent="0.3">
      <c r="B65" s="97"/>
      <c r="C65" s="97"/>
      <c r="D65" s="98"/>
      <c r="E65" s="98"/>
      <c r="F65" s="98"/>
      <c r="G65" s="98"/>
      <c r="H65" s="106"/>
      <c r="I65" s="106"/>
      <c r="J65" s="98"/>
      <c r="K65" s="98"/>
      <c r="L65" s="98"/>
      <c r="M65" s="98"/>
      <c r="N65" s="98"/>
      <c r="O65" s="98"/>
      <c r="P65" s="98"/>
      <c r="Q65" s="98"/>
      <c r="R65" s="107"/>
      <c r="S65" s="107"/>
      <c r="AL65" s="222"/>
      <c r="AM65" s="393">
        <v>42063</v>
      </c>
      <c r="AN65" s="348">
        <v>3842.61</v>
      </c>
      <c r="AO65" s="146">
        <v>246.47766000000004</v>
      </c>
      <c r="AP65" s="147">
        <v>152</v>
      </c>
      <c r="AQ65" s="59">
        <v>42063</v>
      </c>
      <c r="AR65" s="180">
        <v>3842.61</v>
      </c>
      <c r="AS65" s="61">
        <f t="shared" si="11"/>
        <v>1</v>
      </c>
      <c r="AT65" s="185">
        <f t="shared" si="12"/>
        <v>9</v>
      </c>
      <c r="AU65" s="68"/>
      <c r="AV65" s="68"/>
      <c r="AW65" s="68"/>
      <c r="AX65" s="68"/>
      <c r="AY65" s="68"/>
      <c r="AZ65" s="68"/>
      <c r="BE65" s="55"/>
      <c r="BF65" s="55"/>
      <c r="BG65" s="55"/>
      <c r="BH65" s="55"/>
      <c r="BI65" s="55"/>
      <c r="BJ65" s="55"/>
      <c r="BT65" s="271"/>
      <c r="BU65" s="271"/>
      <c r="BV65" s="271"/>
      <c r="BW65" s="271"/>
      <c r="BX65" s="271"/>
      <c r="BY65" s="271"/>
    </row>
    <row r="66" spans="2:77" x14ac:dyDescent="0.25">
      <c r="B66" s="62"/>
      <c r="C66" s="62"/>
      <c r="AL66" s="225" t="s">
        <v>3045</v>
      </c>
      <c r="AM66" s="391">
        <v>42064</v>
      </c>
      <c r="AN66" s="409">
        <v>14138.97</v>
      </c>
      <c r="AO66" s="365">
        <v>3159.7701999999995</v>
      </c>
      <c r="AP66" s="367">
        <v>131</v>
      </c>
      <c r="AQ66" s="59">
        <v>42064</v>
      </c>
      <c r="AR66" s="180">
        <v>14138.97</v>
      </c>
      <c r="AS66" s="61">
        <f t="shared" si="11"/>
        <v>1</v>
      </c>
      <c r="AT66" s="185">
        <f t="shared" si="12"/>
        <v>10</v>
      </c>
      <c r="AU66" s="68"/>
      <c r="AV66" s="68"/>
      <c r="AW66" s="68"/>
      <c r="AX66" s="68"/>
      <c r="AY66" s="68"/>
      <c r="AZ66" s="68"/>
      <c r="BE66" s="55"/>
      <c r="BF66" s="55"/>
      <c r="BG66" s="55"/>
      <c r="BH66" s="55"/>
      <c r="BI66" s="55"/>
      <c r="BJ66" s="55"/>
    </row>
    <row r="67" spans="2:77" x14ac:dyDescent="0.25">
      <c r="B67" s="62"/>
      <c r="C67" s="62"/>
      <c r="AL67" s="222"/>
      <c r="AM67" s="392">
        <v>42065</v>
      </c>
      <c r="AN67" s="348">
        <v>6407.95</v>
      </c>
      <c r="AO67" s="146">
        <v>1761.5608000000002</v>
      </c>
      <c r="AP67" s="147">
        <v>79</v>
      </c>
      <c r="AQ67" s="59">
        <v>42065</v>
      </c>
      <c r="AR67" s="180">
        <v>6407.95</v>
      </c>
      <c r="AS67" s="61">
        <f t="shared" si="11"/>
        <v>1</v>
      </c>
      <c r="AT67" s="185">
        <f t="shared" si="12"/>
        <v>10</v>
      </c>
      <c r="AU67" s="68"/>
      <c r="AV67" s="68"/>
      <c r="AW67" s="68"/>
      <c r="AX67" s="68"/>
      <c r="AY67" s="68"/>
      <c r="AZ67" s="68"/>
      <c r="BE67" s="55"/>
      <c r="BF67" s="55"/>
      <c r="BG67" s="55"/>
      <c r="BH67" s="55"/>
      <c r="BI67" s="55"/>
      <c r="BJ67" s="55"/>
    </row>
    <row r="68" spans="2:77" x14ac:dyDescent="0.25">
      <c r="AL68" s="222"/>
      <c r="AM68" s="392">
        <v>42066</v>
      </c>
      <c r="AN68" s="348">
        <v>262.77999999999997</v>
      </c>
      <c r="AO68" s="146">
        <v>-38.389999999999986</v>
      </c>
      <c r="AP68" s="147">
        <v>31</v>
      </c>
      <c r="AQ68" s="59">
        <v>42066</v>
      </c>
      <c r="AR68" s="180">
        <v>262.77999999999997</v>
      </c>
      <c r="AS68" s="61">
        <f t="shared" si="11"/>
        <v>1</v>
      </c>
      <c r="AT68" s="185">
        <f t="shared" si="12"/>
        <v>10</v>
      </c>
      <c r="AU68" s="68"/>
      <c r="AV68" s="68"/>
      <c r="AW68" s="68"/>
      <c r="AX68" s="68"/>
      <c r="AY68" s="68"/>
      <c r="AZ68" s="68"/>
      <c r="BE68" s="55"/>
      <c r="BF68" s="55"/>
      <c r="BG68" s="55"/>
      <c r="BH68" s="55"/>
      <c r="BI68" s="55"/>
      <c r="BJ68" s="55"/>
    </row>
    <row r="69" spans="2:77" x14ac:dyDescent="0.25">
      <c r="AL69" s="222"/>
      <c r="AM69" s="392">
        <v>42067</v>
      </c>
      <c r="AN69" s="348">
        <v>14738.71</v>
      </c>
      <c r="AO69" s="146">
        <v>8819.4933000000001</v>
      </c>
      <c r="AP69" s="147">
        <v>93</v>
      </c>
      <c r="AQ69" s="59">
        <v>42067</v>
      </c>
      <c r="AR69" s="180">
        <v>14738.71</v>
      </c>
      <c r="AS69" s="61">
        <f t="shared" si="11"/>
        <v>1</v>
      </c>
      <c r="AT69" s="185">
        <f t="shared" si="12"/>
        <v>10</v>
      </c>
      <c r="AU69" s="68"/>
      <c r="AV69" s="68"/>
      <c r="AW69" s="68"/>
      <c r="AX69" s="68"/>
      <c r="AY69" s="68"/>
      <c r="AZ69" s="68"/>
      <c r="BE69" s="55"/>
      <c r="BF69" s="55"/>
      <c r="BG69" s="55"/>
      <c r="BH69" s="55"/>
      <c r="BI69" s="55"/>
      <c r="BJ69" s="55"/>
    </row>
    <row r="70" spans="2:77" x14ac:dyDescent="0.25">
      <c r="AL70" s="222"/>
      <c r="AM70" s="392">
        <v>42068</v>
      </c>
      <c r="AN70" s="348">
        <v>6541.13</v>
      </c>
      <c r="AO70" s="146">
        <v>738.11099999999976</v>
      </c>
      <c r="AP70" s="147">
        <v>129</v>
      </c>
      <c r="AQ70" s="59">
        <v>42068</v>
      </c>
      <c r="AR70" s="180">
        <v>6541.13</v>
      </c>
      <c r="AS70" s="61">
        <f t="shared" si="11"/>
        <v>1</v>
      </c>
      <c r="AT70" s="185">
        <f t="shared" si="12"/>
        <v>10</v>
      </c>
      <c r="AU70" s="68"/>
      <c r="AV70" s="68"/>
      <c r="AW70" s="68"/>
      <c r="AX70" s="68"/>
      <c r="AY70" s="68"/>
      <c r="AZ70" s="68"/>
      <c r="BE70" s="55"/>
      <c r="BF70" s="55"/>
      <c r="BG70" s="55"/>
      <c r="BH70" s="55"/>
      <c r="BI70" s="55"/>
      <c r="BJ70" s="55"/>
    </row>
    <row r="71" spans="2:77" x14ac:dyDescent="0.25">
      <c r="AL71" s="222"/>
      <c r="AM71" s="392">
        <v>42069</v>
      </c>
      <c r="AN71" s="348">
        <v>2218.25</v>
      </c>
      <c r="AO71" s="146">
        <v>-761.69</v>
      </c>
      <c r="AP71" s="147">
        <v>74</v>
      </c>
      <c r="AQ71" s="59">
        <v>42069</v>
      </c>
      <c r="AR71" s="180">
        <v>2218.25</v>
      </c>
      <c r="AS71" s="61">
        <f t="shared" si="11"/>
        <v>1</v>
      </c>
      <c r="AT71" s="185">
        <f t="shared" si="12"/>
        <v>10</v>
      </c>
      <c r="AU71" s="68"/>
      <c r="AV71" s="68"/>
      <c r="AW71" s="68"/>
      <c r="AX71" s="68"/>
      <c r="AY71" s="68"/>
      <c r="AZ71" s="68"/>
      <c r="BE71" s="55"/>
      <c r="BF71" s="55"/>
      <c r="BG71" s="55"/>
      <c r="BH71" s="55"/>
      <c r="BI71" s="55"/>
      <c r="BJ71" s="55"/>
    </row>
    <row r="72" spans="2:77" x14ac:dyDescent="0.25">
      <c r="AL72" s="222"/>
      <c r="AM72" s="392">
        <v>42070</v>
      </c>
      <c r="AN72" s="348">
        <v>2711.04</v>
      </c>
      <c r="AO72" s="146">
        <v>819.88600000000008</v>
      </c>
      <c r="AP72" s="147">
        <v>46</v>
      </c>
      <c r="AQ72" s="59">
        <v>42070</v>
      </c>
      <c r="AR72" s="180">
        <v>2711.04</v>
      </c>
      <c r="AS72" s="61">
        <f>IF(AR72=0,0,1)</f>
        <v>1</v>
      </c>
      <c r="AT72" s="185">
        <f t="shared" ref="AT72:AT135" si="19">WEEKNUM(AQ72)</f>
        <v>10</v>
      </c>
      <c r="AU72" s="68"/>
      <c r="AV72" s="68"/>
      <c r="AW72" s="68"/>
      <c r="AX72" s="68"/>
      <c r="AY72" s="68"/>
      <c r="AZ72" s="68"/>
      <c r="BE72" s="55"/>
      <c r="BF72" s="55"/>
      <c r="BG72" s="55"/>
      <c r="BH72" s="55"/>
      <c r="BI72" s="55"/>
      <c r="BJ72" s="55"/>
    </row>
    <row r="73" spans="2:77" x14ac:dyDescent="0.25">
      <c r="AL73" s="222"/>
      <c r="AM73" s="392">
        <v>42071</v>
      </c>
      <c r="AN73" s="348">
        <v>5373.52</v>
      </c>
      <c r="AO73" s="146">
        <v>2831.3710000000001</v>
      </c>
      <c r="AP73" s="147">
        <v>70</v>
      </c>
      <c r="AQ73" s="59">
        <v>42071</v>
      </c>
      <c r="AR73" s="180">
        <v>5373.52</v>
      </c>
      <c r="AS73" s="61">
        <f t="shared" si="11"/>
        <v>1</v>
      </c>
      <c r="AT73" s="185">
        <f t="shared" si="19"/>
        <v>11</v>
      </c>
      <c r="AU73" s="68"/>
      <c r="AV73" s="68"/>
      <c r="AW73" s="68"/>
      <c r="AX73" s="68"/>
      <c r="AY73" s="68"/>
      <c r="AZ73" s="68"/>
      <c r="BE73" s="55"/>
      <c r="BF73" s="55"/>
      <c r="BG73" s="55"/>
      <c r="BH73" s="55"/>
      <c r="BI73" s="55"/>
      <c r="BJ73" s="55"/>
    </row>
    <row r="74" spans="2:77" x14ac:dyDescent="0.25">
      <c r="AL74" s="222"/>
      <c r="AM74" s="392">
        <v>42072</v>
      </c>
      <c r="AN74" s="348">
        <v>3255.53</v>
      </c>
      <c r="AO74" s="146">
        <v>-1479.0494000000001</v>
      </c>
      <c r="AP74" s="147">
        <v>28</v>
      </c>
      <c r="AQ74" s="59">
        <v>42072</v>
      </c>
      <c r="AR74" s="180">
        <v>3255.53</v>
      </c>
      <c r="AS74" s="61">
        <f t="shared" ref="AS74:AS137" si="20">IF(AR74=0,0,1)</f>
        <v>1</v>
      </c>
      <c r="AT74" s="185">
        <f t="shared" si="19"/>
        <v>11</v>
      </c>
      <c r="AU74" s="68"/>
      <c r="AV74" s="68"/>
      <c r="AW74" s="68"/>
      <c r="AX74" s="68"/>
      <c r="AY74" s="68"/>
      <c r="AZ74" s="68"/>
      <c r="BE74" s="55"/>
      <c r="BF74" s="55"/>
      <c r="BG74" s="55"/>
      <c r="BH74" s="55"/>
      <c r="BI74" s="55"/>
      <c r="BJ74" s="55"/>
    </row>
    <row r="75" spans="2:77" x14ac:dyDescent="0.25">
      <c r="AL75" s="222"/>
      <c r="AM75" s="392">
        <v>42073</v>
      </c>
      <c r="AN75" s="348">
        <v>7421.79</v>
      </c>
      <c r="AO75" s="146">
        <v>-14020.799600000002</v>
      </c>
      <c r="AP75" s="147">
        <v>41</v>
      </c>
      <c r="AQ75" s="59">
        <v>42073</v>
      </c>
      <c r="AR75" s="180">
        <v>7421.79</v>
      </c>
      <c r="AS75" s="61">
        <f t="shared" si="20"/>
        <v>1</v>
      </c>
      <c r="AT75" s="185">
        <f t="shared" si="19"/>
        <v>11</v>
      </c>
      <c r="AU75" s="68"/>
      <c r="AV75" s="68"/>
      <c r="AW75" s="68"/>
      <c r="AX75" s="68"/>
      <c r="AY75" s="68"/>
      <c r="AZ75" s="68"/>
      <c r="BE75" s="55"/>
      <c r="BF75" s="55"/>
      <c r="BG75" s="55"/>
      <c r="BH75" s="55"/>
      <c r="BI75" s="55"/>
      <c r="BJ75" s="55"/>
    </row>
    <row r="76" spans="2:77" x14ac:dyDescent="0.25">
      <c r="AL76" s="222"/>
      <c r="AM76" s="392">
        <v>42074</v>
      </c>
      <c r="AN76" s="348">
        <v>2619.37</v>
      </c>
      <c r="AO76" s="146">
        <v>-608.8664</v>
      </c>
      <c r="AP76" s="147">
        <v>160</v>
      </c>
      <c r="AQ76" s="59">
        <v>42074</v>
      </c>
      <c r="AR76" s="180">
        <v>2619.37</v>
      </c>
      <c r="AS76" s="61">
        <f t="shared" si="20"/>
        <v>1</v>
      </c>
      <c r="AT76" s="185">
        <f t="shared" si="19"/>
        <v>11</v>
      </c>
      <c r="AU76" s="68"/>
      <c r="AV76" s="68"/>
      <c r="AW76" s="68"/>
      <c r="AX76" s="68"/>
      <c r="AY76" s="68"/>
      <c r="AZ76" s="68"/>
      <c r="BE76" s="55"/>
      <c r="BF76" s="55"/>
      <c r="BG76" s="55"/>
      <c r="BH76" s="55"/>
      <c r="BI76" s="55"/>
      <c r="BJ76" s="55"/>
    </row>
    <row r="77" spans="2:77" x14ac:dyDescent="0.25">
      <c r="AL77" s="222"/>
      <c r="AM77" s="392">
        <v>42075</v>
      </c>
      <c r="AN77" s="348">
        <v>6679.66</v>
      </c>
      <c r="AO77" s="146">
        <v>3976.8537999999999</v>
      </c>
      <c r="AP77" s="147">
        <v>99</v>
      </c>
      <c r="AQ77" s="59">
        <v>42075</v>
      </c>
      <c r="AR77" s="180">
        <v>6679.66</v>
      </c>
      <c r="AS77" s="61">
        <f t="shared" si="20"/>
        <v>1</v>
      </c>
      <c r="AT77" s="185">
        <f t="shared" si="19"/>
        <v>11</v>
      </c>
      <c r="AU77" s="68"/>
      <c r="AV77" s="68"/>
      <c r="AW77" s="68"/>
      <c r="AX77" s="68"/>
      <c r="AY77" s="68"/>
      <c r="AZ77" s="68"/>
      <c r="BE77" s="55"/>
      <c r="BF77" s="55"/>
      <c r="BG77" s="55"/>
      <c r="BH77" s="55"/>
      <c r="BI77" s="55"/>
      <c r="BJ77" s="55"/>
    </row>
    <row r="78" spans="2:77" x14ac:dyDescent="0.25">
      <c r="AL78" s="222"/>
      <c r="AM78" s="392">
        <v>42076</v>
      </c>
      <c r="AN78" s="348">
        <v>6648.49</v>
      </c>
      <c r="AO78" s="146">
        <v>2137.4774999999995</v>
      </c>
      <c r="AP78" s="147">
        <v>93</v>
      </c>
      <c r="AQ78" s="59">
        <v>42076</v>
      </c>
      <c r="AR78" s="180">
        <v>6648.49</v>
      </c>
      <c r="AS78" s="61">
        <f t="shared" si="20"/>
        <v>1</v>
      </c>
      <c r="AT78" s="185">
        <f t="shared" si="19"/>
        <v>11</v>
      </c>
      <c r="AU78" s="68"/>
      <c r="AV78" s="68"/>
      <c r="AW78" s="68"/>
      <c r="AX78" s="68"/>
      <c r="AY78" s="68"/>
      <c r="AZ78" s="68"/>
      <c r="BE78" s="55"/>
      <c r="BF78" s="55"/>
      <c r="BG78" s="55"/>
      <c r="BH78" s="55"/>
      <c r="BI78" s="55"/>
      <c r="BJ78" s="55"/>
    </row>
    <row r="79" spans="2:77" x14ac:dyDescent="0.25">
      <c r="AL79" s="222"/>
      <c r="AM79" s="392">
        <v>42077</v>
      </c>
      <c r="AN79" s="348">
        <v>25783.09</v>
      </c>
      <c r="AO79" s="146">
        <v>-5722.5105659999999</v>
      </c>
      <c r="AP79" s="147">
        <v>265</v>
      </c>
      <c r="AQ79" s="59">
        <v>42077</v>
      </c>
      <c r="AR79" s="180">
        <v>25783.09</v>
      </c>
      <c r="AS79" s="61">
        <f t="shared" si="20"/>
        <v>1</v>
      </c>
      <c r="AT79" s="185">
        <f t="shared" si="19"/>
        <v>11</v>
      </c>
      <c r="AU79" s="68"/>
      <c r="AV79" s="68"/>
      <c r="AW79" s="68"/>
      <c r="AX79" s="68"/>
      <c r="AY79" s="68"/>
      <c r="AZ79" s="68"/>
      <c r="BE79" s="55"/>
      <c r="BF79" s="55"/>
      <c r="BG79" s="55"/>
      <c r="BH79" s="55"/>
      <c r="BI79" s="55"/>
      <c r="BJ79" s="55"/>
    </row>
    <row r="80" spans="2:77" x14ac:dyDescent="0.25">
      <c r="AL80" s="222"/>
      <c r="AM80" s="392">
        <v>42078</v>
      </c>
      <c r="AN80" s="348">
        <v>2943.82</v>
      </c>
      <c r="AO80" s="146">
        <v>-1092.919506</v>
      </c>
      <c r="AP80" s="147">
        <v>68</v>
      </c>
      <c r="AQ80" s="59">
        <v>42078</v>
      </c>
      <c r="AR80" s="180">
        <v>2943.82</v>
      </c>
      <c r="AS80" s="61">
        <f t="shared" si="20"/>
        <v>1</v>
      </c>
      <c r="AT80" s="185">
        <f t="shared" si="19"/>
        <v>12</v>
      </c>
      <c r="AU80" s="68"/>
      <c r="AV80" s="68"/>
      <c r="AW80" s="68"/>
      <c r="AX80" s="68"/>
      <c r="AY80" s="68"/>
      <c r="AZ80" s="68"/>
      <c r="BE80" s="55"/>
      <c r="BF80" s="55"/>
      <c r="BG80" s="55"/>
      <c r="BH80" s="55"/>
      <c r="BI80" s="55"/>
      <c r="BJ80" s="55"/>
    </row>
    <row r="81" spans="38:62" x14ac:dyDescent="0.25">
      <c r="AL81" s="222"/>
      <c r="AM81" s="392">
        <v>42079</v>
      </c>
      <c r="AN81" s="348">
        <v>16728.53</v>
      </c>
      <c r="AO81" s="146">
        <v>1146.3709000000003</v>
      </c>
      <c r="AP81" s="147">
        <v>85</v>
      </c>
      <c r="AQ81" s="59">
        <v>42079</v>
      </c>
      <c r="AR81" s="180">
        <v>16728.53</v>
      </c>
      <c r="AS81" s="61">
        <f t="shared" si="20"/>
        <v>1</v>
      </c>
      <c r="AT81" s="185">
        <f t="shared" si="19"/>
        <v>12</v>
      </c>
      <c r="AU81" s="68"/>
      <c r="AV81" s="68"/>
      <c r="AW81" s="68"/>
      <c r="AX81" s="68"/>
      <c r="AY81" s="68"/>
      <c r="AZ81" s="68"/>
      <c r="BE81" s="55"/>
      <c r="BF81" s="55"/>
      <c r="BG81" s="55"/>
      <c r="BH81" s="55"/>
      <c r="BI81" s="55"/>
      <c r="BJ81" s="55"/>
    </row>
    <row r="82" spans="38:62" x14ac:dyDescent="0.25">
      <c r="AL82" s="222"/>
      <c r="AM82" s="392">
        <v>42080</v>
      </c>
      <c r="AN82" s="348">
        <v>5244.52</v>
      </c>
      <c r="AO82" s="146">
        <v>2574.719399999999</v>
      </c>
      <c r="AP82" s="147">
        <v>102</v>
      </c>
      <c r="AQ82" s="59">
        <v>42080</v>
      </c>
      <c r="AR82" s="180">
        <v>5244.52</v>
      </c>
      <c r="AS82" s="61">
        <f t="shared" si="20"/>
        <v>1</v>
      </c>
      <c r="AT82" s="185">
        <f t="shared" si="19"/>
        <v>12</v>
      </c>
      <c r="AU82" s="68"/>
      <c r="AV82" s="68"/>
      <c r="AW82" s="68"/>
      <c r="AX82" s="68"/>
      <c r="AY82" s="68"/>
      <c r="AZ82" s="68"/>
      <c r="BE82" s="55"/>
      <c r="BF82" s="55"/>
      <c r="BG82" s="55"/>
      <c r="BH82" s="55"/>
      <c r="BI82" s="55"/>
      <c r="BJ82" s="55"/>
    </row>
    <row r="83" spans="38:62" x14ac:dyDescent="0.25">
      <c r="AL83" s="222"/>
      <c r="AM83" s="392">
        <v>42081</v>
      </c>
      <c r="AN83" s="348">
        <v>16840.650000000001</v>
      </c>
      <c r="AO83" s="146">
        <v>4184.2209999999995</v>
      </c>
      <c r="AP83" s="147">
        <v>121</v>
      </c>
      <c r="AQ83" s="59">
        <v>42081</v>
      </c>
      <c r="AR83" s="180">
        <v>16840.650000000001</v>
      </c>
      <c r="AS83" s="61">
        <f t="shared" si="20"/>
        <v>1</v>
      </c>
      <c r="AT83" s="185">
        <f t="shared" si="19"/>
        <v>12</v>
      </c>
      <c r="AU83" s="68"/>
      <c r="AV83" s="68"/>
      <c r="AW83" s="68"/>
      <c r="AX83" s="68"/>
      <c r="AY83" s="68"/>
      <c r="AZ83" s="68"/>
      <c r="BE83" s="55"/>
      <c r="BF83" s="55"/>
      <c r="BG83" s="55"/>
      <c r="BH83" s="55"/>
      <c r="BI83" s="55"/>
      <c r="BJ83" s="55"/>
    </row>
    <row r="84" spans="38:62" x14ac:dyDescent="0.25">
      <c r="AL84" s="222"/>
      <c r="AM84" s="392">
        <v>42082</v>
      </c>
      <c r="AN84" s="348">
        <v>5402.48</v>
      </c>
      <c r="AO84" s="146">
        <v>-1589.3171400000001</v>
      </c>
      <c r="AP84" s="147">
        <v>168</v>
      </c>
      <c r="AQ84" s="59">
        <v>42082</v>
      </c>
      <c r="AR84" s="180">
        <v>5402.48</v>
      </c>
      <c r="AS84" s="61">
        <f t="shared" si="20"/>
        <v>1</v>
      </c>
      <c r="AT84" s="185">
        <f t="shared" si="19"/>
        <v>12</v>
      </c>
      <c r="AU84" s="68"/>
      <c r="AV84" s="68"/>
      <c r="AW84" s="68"/>
      <c r="AX84" s="68"/>
      <c r="AY84" s="68"/>
      <c r="AZ84" s="68"/>
      <c r="BE84" s="55"/>
      <c r="BF84" s="55"/>
      <c r="BG84" s="55"/>
      <c r="BH84" s="55"/>
      <c r="BI84" s="55"/>
      <c r="BJ84" s="55"/>
    </row>
    <row r="85" spans="38:62" x14ac:dyDescent="0.25">
      <c r="AL85" s="222"/>
      <c r="AM85" s="392">
        <v>42083</v>
      </c>
      <c r="AN85" s="348">
        <v>16675.580000000002</v>
      </c>
      <c r="AO85" s="146">
        <v>-1875.1018000000004</v>
      </c>
      <c r="AP85" s="147">
        <v>319</v>
      </c>
      <c r="AQ85" s="59">
        <v>42083</v>
      </c>
      <c r="AR85" s="180">
        <v>16675.580000000002</v>
      </c>
      <c r="AS85" s="61">
        <f t="shared" si="20"/>
        <v>1</v>
      </c>
      <c r="AT85" s="185">
        <f t="shared" si="19"/>
        <v>12</v>
      </c>
      <c r="AU85" s="68"/>
      <c r="AV85" s="68"/>
      <c r="AW85" s="68"/>
      <c r="AX85" s="68"/>
      <c r="AY85" s="68"/>
      <c r="AZ85" s="68"/>
      <c r="BE85" s="55"/>
      <c r="BF85" s="55"/>
      <c r="BG85" s="55"/>
      <c r="BH85" s="55"/>
      <c r="BI85" s="55"/>
      <c r="BJ85" s="55"/>
    </row>
    <row r="86" spans="38:62" x14ac:dyDescent="0.25">
      <c r="AL86" s="222"/>
      <c r="AM86" s="392">
        <v>42084</v>
      </c>
      <c r="AN86" s="348">
        <v>25857.3</v>
      </c>
      <c r="AO86" s="146">
        <v>3199.0791000000004</v>
      </c>
      <c r="AP86" s="147">
        <v>58</v>
      </c>
      <c r="AQ86" s="59">
        <v>42084</v>
      </c>
      <c r="AR86" s="180">
        <v>25857.3</v>
      </c>
      <c r="AS86" s="61">
        <f t="shared" si="20"/>
        <v>1</v>
      </c>
      <c r="AT86" s="185">
        <f t="shared" si="19"/>
        <v>12</v>
      </c>
      <c r="AU86" s="68"/>
      <c r="AV86" s="68"/>
      <c r="AW86" s="68"/>
      <c r="AX86" s="68"/>
      <c r="AY86" s="68"/>
      <c r="AZ86" s="68"/>
      <c r="BE86" s="55"/>
      <c r="BF86" s="55"/>
      <c r="BG86" s="55"/>
      <c r="BH86" s="55"/>
      <c r="BI86" s="55"/>
      <c r="BJ86" s="55"/>
    </row>
    <row r="87" spans="38:62" x14ac:dyDescent="0.25">
      <c r="AL87" s="222"/>
      <c r="AM87" s="392">
        <v>42085</v>
      </c>
      <c r="AN87" s="348">
        <v>9403.56</v>
      </c>
      <c r="AO87" s="146">
        <v>-109.37839999999991</v>
      </c>
      <c r="AP87" s="147">
        <v>80</v>
      </c>
      <c r="AQ87" s="59">
        <v>42085</v>
      </c>
      <c r="AR87" s="180">
        <v>9403.56</v>
      </c>
      <c r="AS87" s="61">
        <f t="shared" si="20"/>
        <v>1</v>
      </c>
      <c r="AT87" s="185">
        <f t="shared" si="19"/>
        <v>13</v>
      </c>
      <c r="AU87" s="68"/>
      <c r="AV87" s="68"/>
      <c r="AW87" s="68"/>
      <c r="AX87" s="68"/>
      <c r="AY87" s="68"/>
      <c r="AZ87" s="68"/>
      <c r="BE87" s="55"/>
      <c r="BF87" s="55"/>
      <c r="BG87" s="55"/>
      <c r="BH87" s="55"/>
      <c r="BI87" s="55"/>
      <c r="BJ87" s="55"/>
    </row>
    <row r="88" spans="38:62" x14ac:dyDescent="0.25">
      <c r="AL88" s="222"/>
      <c r="AM88" s="392">
        <v>42086</v>
      </c>
      <c r="AN88" s="348">
        <v>3850.97</v>
      </c>
      <c r="AO88" s="146">
        <v>1368.4157</v>
      </c>
      <c r="AP88" s="147">
        <v>185</v>
      </c>
      <c r="AQ88" s="59">
        <v>42086</v>
      </c>
      <c r="AR88" s="180">
        <v>3850.97</v>
      </c>
      <c r="AS88" s="61">
        <f t="shared" si="20"/>
        <v>1</v>
      </c>
      <c r="AT88" s="185">
        <f t="shared" si="19"/>
        <v>13</v>
      </c>
      <c r="AU88" s="68"/>
      <c r="AV88" s="68"/>
      <c r="AW88" s="68"/>
      <c r="AX88" s="68"/>
      <c r="AY88" s="68"/>
      <c r="AZ88" s="68"/>
      <c r="BE88" s="55"/>
      <c r="BF88" s="55"/>
      <c r="BG88" s="55"/>
      <c r="BH88" s="55"/>
      <c r="BI88" s="55"/>
      <c r="BJ88" s="55"/>
    </row>
    <row r="89" spans="38:62" x14ac:dyDescent="0.25">
      <c r="AL89" s="222"/>
      <c r="AM89" s="392">
        <v>42087</v>
      </c>
      <c r="AN89" s="348">
        <v>7449.45</v>
      </c>
      <c r="AO89" s="146">
        <v>-1726.25170125</v>
      </c>
      <c r="AP89" s="147">
        <v>104</v>
      </c>
      <c r="AQ89" s="59">
        <v>42087</v>
      </c>
      <c r="AR89" s="180">
        <v>7449.45</v>
      </c>
      <c r="AS89" s="61">
        <f t="shared" si="20"/>
        <v>1</v>
      </c>
      <c r="AT89" s="185">
        <f t="shared" si="19"/>
        <v>13</v>
      </c>
      <c r="AU89" s="68"/>
      <c r="AV89" s="68"/>
      <c r="AW89" s="68"/>
      <c r="AX89" s="68"/>
      <c r="AY89" s="68"/>
      <c r="AZ89" s="68"/>
      <c r="BE89" s="55"/>
      <c r="BF89" s="55"/>
      <c r="BG89" s="55"/>
      <c r="BH89" s="55"/>
      <c r="BI89" s="55"/>
      <c r="BJ89" s="55"/>
    </row>
    <row r="90" spans="38:62" x14ac:dyDescent="0.25">
      <c r="AL90" s="222"/>
      <c r="AM90" s="392">
        <v>42088</v>
      </c>
      <c r="AN90" s="348">
        <v>9686.07</v>
      </c>
      <c r="AO90" s="146">
        <v>2354.2009999999996</v>
      </c>
      <c r="AP90" s="147">
        <v>168</v>
      </c>
      <c r="AQ90" s="59">
        <v>42088</v>
      </c>
      <c r="AR90" s="180">
        <v>9686.07</v>
      </c>
      <c r="AS90" s="61">
        <f t="shared" si="20"/>
        <v>1</v>
      </c>
      <c r="AT90" s="185">
        <f t="shared" si="19"/>
        <v>13</v>
      </c>
      <c r="AU90" s="68"/>
      <c r="AV90" s="68"/>
      <c r="AW90" s="68"/>
      <c r="AX90" s="68"/>
      <c r="AY90" s="68"/>
      <c r="AZ90" s="68"/>
      <c r="BE90" s="55"/>
      <c r="BF90" s="55"/>
      <c r="BG90" s="55"/>
      <c r="BH90" s="55"/>
      <c r="BI90" s="55"/>
      <c r="BJ90" s="55"/>
    </row>
    <row r="91" spans="38:62" x14ac:dyDescent="0.25">
      <c r="AL91" s="222"/>
      <c r="AM91" s="392">
        <v>42089</v>
      </c>
      <c r="AN91" s="348">
        <v>5237.6000000000004</v>
      </c>
      <c r="AO91" s="146">
        <v>-233.75349999999997</v>
      </c>
      <c r="AP91" s="147">
        <v>80</v>
      </c>
      <c r="AQ91" s="59">
        <v>42089</v>
      </c>
      <c r="AR91" s="180">
        <v>5237.6000000000004</v>
      </c>
      <c r="AS91" s="61">
        <f t="shared" si="20"/>
        <v>1</v>
      </c>
      <c r="AT91" s="185">
        <f t="shared" si="19"/>
        <v>13</v>
      </c>
      <c r="AU91" s="68"/>
      <c r="AV91" s="68"/>
      <c r="AW91" s="68"/>
      <c r="AX91" s="68"/>
      <c r="AY91" s="68"/>
      <c r="AZ91" s="68"/>
      <c r="BE91" s="55"/>
      <c r="BF91" s="55"/>
      <c r="BG91" s="55"/>
      <c r="BH91" s="55"/>
      <c r="BI91" s="55"/>
      <c r="BJ91" s="55"/>
    </row>
    <row r="92" spans="38:62" x14ac:dyDescent="0.25">
      <c r="AL92" s="222"/>
      <c r="AM92" s="392">
        <v>42090</v>
      </c>
      <c r="AN92" s="348">
        <v>15468.49</v>
      </c>
      <c r="AO92" s="146">
        <v>3420.5684999999999</v>
      </c>
      <c r="AP92" s="147">
        <v>297</v>
      </c>
      <c r="AQ92" s="59">
        <v>42090</v>
      </c>
      <c r="AR92" s="180">
        <v>15468.49</v>
      </c>
      <c r="AS92" s="61">
        <f t="shared" si="20"/>
        <v>1</v>
      </c>
      <c r="AT92" s="185">
        <f t="shared" si="19"/>
        <v>13</v>
      </c>
      <c r="AU92" s="68"/>
      <c r="AV92" s="68"/>
      <c r="AW92" s="68"/>
      <c r="AX92" s="68"/>
      <c r="AY92" s="68"/>
      <c r="AZ92" s="68"/>
      <c r="BE92" s="55"/>
      <c r="BF92" s="55"/>
      <c r="BG92" s="55"/>
      <c r="BH92" s="55"/>
      <c r="BI92" s="55"/>
      <c r="BJ92" s="55"/>
    </row>
    <row r="93" spans="38:62" x14ac:dyDescent="0.25">
      <c r="AL93" s="222"/>
      <c r="AM93" s="392">
        <v>42091</v>
      </c>
      <c r="AN93" s="348">
        <v>2783.93</v>
      </c>
      <c r="AO93" s="146">
        <v>-16596.205899999997</v>
      </c>
      <c r="AP93" s="147">
        <v>76</v>
      </c>
      <c r="AQ93" s="59">
        <v>42091</v>
      </c>
      <c r="AR93" s="180">
        <v>2783.93</v>
      </c>
      <c r="AS93" s="61">
        <f t="shared" si="20"/>
        <v>1</v>
      </c>
      <c r="AT93" s="185">
        <f t="shared" si="19"/>
        <v>13</v>
      </c>
      <c r="AU93" s="68"/>
      <c r="AV93" s="68"/>
      <c r="AW93" s="68"/>
      <c r="AX93" s="68"/>
      <c r="AY93" s="68"/>
      <c r="AZ93" s="68"/>
      <c r="BE93" s="55"/>
      <c r="BF93" s="55"/>
      <c r="BG93" s="55"/>
      <c r="BH93" s="55"/>
      <c r="BI93" s="55"/>
      <c r="BJ93" s="55"/>
    </row>
    <row r="94" spans="38:62" x14ac:dyDescent="0.25">
      <c r="AL94" s="222"/>
      <c r="AM94" s="392">
        <v>42092</v>
      </c>
      <c r="AN94" s="348">
        <v>1516.49</v>
      </c>
      <c r="AO94" s="146">
        <v>-536.11419999999998</v>
      </c>
      <c r="AP94" s="147">
        <v>85</v>
      </c>
      <c r="AQ94" s="59">
        <v>42092</v>
      </c>
      <c r="AR94" s="180">
        <v>1516.49</v>
      </c>
      <c r="AS94" s="61">
        <f t="shared" si="20"/>
        <v>1</v>
      </c>
      <c r="AT94" s="185">
        <f t="shared" si="19"/>
        <v>14</v>
      </c>
      <c r="AU94" s="68"/>
      <c r="AV94" s="68"/>
      <c r="AW94" s="68"/>
      <c r="AX94" s="68"/>
      <c r="AY94" s="68"/>
      <c r="AZ94" s="68"/>
      <c r="BE94" s="55"/>
      <c r="BF94" s="55"/>
      <c r="BG94" s="55"/>
      <c r="BH94" s="55"/>
      <c r="BI94" s="55"/>
      <c r="BJ94" s="55"/>
    </row>
    <row r="95" spans="38:62" x14ac:dyDescent="0.25">
      <c r="AL95" s="222"/>
      <c r="AM95" s="392">
        <v>42093</v>
      </c>
      <c r="AN95" s="348">
        <v>15175.7</v>
      </c>
      <c r="AO95" s="146">
        <v>7059.8765000000021</v>
      </c>
      <c r="AP95" s="147">
        <v>227</v>
      </c>
      <c r="AQ95" s="59">
        <v>42093</v>
      </c>
      <c r="AR95" s="180">
        <v>15175.7</v>
      </c>
      <c r="AS95" s="61">
        <f t="shared" si="20"/>
        <v>1</v>
      </c>
      <c r="AT95" s="185">
        <f t="shared" si="19"/>
        <v>14</v>
      </c>
      <c r="AU95" s="68"/>
      <c r="AV95" s="68"/>
      <c r="AW95" s="68"/>
      <c r="AX95" s="68"/>
      <c r="AY95" s="68"/>
      <c r="AZ95" s="68"/>
      <c r="BE95" s="55"/>
      <c r="BF95" s="55"/>
      <c r="BG95" s="55"/>
      <c r="BH95" s="55"/>
      <c r="BI95" s="55"/>
      <c r="BJ95" s="55"/>
    </row>
    <row r="96" spans="38:62" ht="15.75" thickBot="1" x14ac:dyDescent="0.3">
      <c r="AL96" s="222"/>
      <c r="AM96" s="393">
        <v>42094</v>
      </c>
      <c r="AN96" s="348">
        <v>101.71</v>
      </c>
      <c r="AO96" s="146">
        <v>-1279.797</v>
      </c>
      <c r="AP96" s="147">
        <v>8</v>
      </c>
      <c r="AQ96" s="59">
        <v>42094</v>
      </c>
      <c r="AR96" s="180">
        <v>101.71</v>
      </c>
      <c r="AS96" s="61">
        <f t="shared" si="20"/>
        <v>1</v>
      </c>
      <c r="AT96" s="185">
        <f t="shared" si="19"/>
        <v>14</v>
      </c>
      <c r="AU96" s="68"/>
      <c r="AV96" s="68"/>
      <c r="AW96" s="68"/>
      <c r="AX96" s="68"/>
      <c r="AY96" s="68"/>
      <c r="AZ96" s="68"/>
      <c r="BE96" s="55"/>
      <c r="BF96" s="55"/>
      <c r="BG96" s="55"/>
      <c r="BH96" s="55"/>
      <c r="BI96" s="55"/>
      <c r="BJ96" s="55"/>
    </row>
    <row r="97" spans="38:62" x14ac:dyDescent="0.25">
      <c r="AL97" s="225" t="s">
        <v>3046</v>
      </c>
      <c r="AM97" s="391">
        <v>42095</v>
      </c>
      <c r="AN97" s="409">
        <v>5203.5200000000004</v>
      </c>
      <c r="AO97" s="365">
        <v>-1327.6013399999999</v>
      </c>
      <c r="AP97" s="367">
        <v>79</v>
      </c>
      <c r="AQ97" s="59">
        <v>42095</v>
      </c>
      <c r="AR97" s="180">
        <v>5203.5200000000004</v>
      </c>
      <c r="AS97" s="61">
        <f t="shared" si="20"/>
        <v>1</v>
      </c>
      <c r="AT97" s="185">
        <f t="shared" si="19"/>
        <v>14</v>
      </c>
      <c r="AU97" s="68"/>
      <c r="AV97" s="68"/>
      <c r="AW97" s="68"/>
      <c r="AX97" s="68"/>
      <c r="AY97" s="68"/>
      <c r="AZ97" s="68"/>
      <c r="BE97" s="55"/>
      <c r="BF97" s="55"/>
      <c r="BG97" s="55"/>
      <c r="BH97" s="55"/>
      <c r="BI97" s="55"/>
      <c r="BJ97" s="55"/>
    </row>
    <row r="98" spans="38:62" x14ac:dyDescent="0.25">
      <c r="AL98" s="222"/>
      <c r="AM98" s="392">
        <v>42096</v>
      </c>
      <c r="AN98" s="348">
        <v>25267.5</v>
      </c>
      <c r="AO98" s="146">
        <v>-1485.3228920000008</v>
      </c>
      <c r="AP98" s="147">
        <v>140</v>
      </c>
      <c r="AQ98" s="59">
        <v>42096</v>
      </c>
      <c r="AR98" s="180">
        <v>25267.5</v>
      </c>
      <c r="AS98" s="61">
        <f t="shared" si="20"/>
        <v>1</v>
      </c>
      <c r="AT98" s="185">
        <f t="shared" si="19"/>
        <v>14</v>
      </c>
      <c r="AU98" s="68"/>
      <c r="AV98" s="68"/>
      <c r="AW98" s="68"/>
      <c r="AX98" s="68"/>
      <c r="AY98" s="68"/>
      <c r="AZ98" s="68"/>
      <c r="BE98" s="55"/>
      <c r="BF98" s="55"/>
      <c r="BG98" s="55"/>
      <c r="BH98" s="55"/>
      <c r="BI98" s="55"/>
      <c r="BJ98" s="55"/>
    </row>
    <row r="99" spans="38:62" x14ac:dyDescent="0.25">
      <c r="AL99" s="222"/>
      <c r="AM99" s="392">
        <v>42098</v>
      </c>
      <c r="AN99" s="348">
        <v>67267.77</v>
      </c>
      <c r="AO99" s="146">
        <v>18782.274940000003</v>
      </c>
      <c r="AP99" s="147">
        <v>347</v>
      </c>
      <c r="AQ99" s="59">
        <v>42098</v>
      </c>
      <c r="AR99" s="180">
        <v>67267.77</v>
      </c>
      <c r="AS99" s="61">
        <f t="shared" si="20"/>
        <v>1</v>
      </c>
      <c r="AT99" s="185">
        <f t="shared" si="19"/>
        <v>14</v>
      </c>
      <c r="AU99" s="68"/>
      <c r="AV99" s="68"/>
      <c r="AW99" s="68"/>
      <c r="AX99" s="68"/>
      <c r="AY99" s="68"/>
      <c r="AZ99" s="68"/>
      <c r="BE99" s="55"/>
      <c r="BF99" s="55"/>
      <c r="BG99" s="55"/>
      <c r="BH99" s="55"/>
      <c r="BI99" s="55"/>
      <c r="BJ99" s="55"/>
    </row>
    <row r="100" spans="38:62" x14ac:dyDescent="0.25">
      <c r="AL100" s="222"/>
      <c r="AM100" s="392">
        <v>42099</v>
      </c>
      <c r="AN100" s="348">
        <v>10775.67</v>
      </c>
      <c r="AO100" s="146">
        <v>1891.0971439999998</v>
      </c>
      <c r="AP100" s="147">
        <v>121</v>
      </c>
      <c r="AQ100" s="59">
        <v>42099</v>
      </c>
      <c r="AR100" s="180">
        <v>10775.67</v>
      </c>
      <c r="AS100" s="61">
        <f t="shared" si="20"/>
        <v>1</v>
      </c>
      <c r="AT100" s="185">
        <f t="shared" si="19"/>
        <v>15</v>
      </c>
      <c r="AU100" s="68"/>
      <c r="AV100" s="68"/>
      <c r="AW100" s="68"/>
      <c r="AX100" s="68"/>
      <c r="AY100" s="68"/>
      <c r="AZ100" s="68"/>
      <c r="BE100" s="55"/>
      <c r="BF100" s="55"/>
      <c r="BG100" s="55"/>
      <c r="BH100" s="55"/>
      <c r="BI100" s="55"/>
      <c r="BJ100" s="55"/>
    </row>
    <row r="101" spans="38:62" x14ac:dyDescent="0.25">
      <c r="AL101" s="222"/>
      <c r="AM101" s="392">
        <v>42100</v>
      </c>
      <c r="AN101" s="348">
        <v>16890.22</v>
      </c>
      <c r="AO101" s="146">
        <v>4243.2277000000004</v>
      </c>
      <c r="AP101" s="147">
        <v>163</v>
      </c>
      <c r="AQ101" s="59">
        <v>42100</v>
      </c>
      <c r="AR101" s="180">
        <v>16890.22</v>
      </c>
      <c r="AS101" s="61">
        <f t="shared" si="20"/>
        <v>1</v>
      </c>
      <c r="AT101" s="185">
        <f t="shared" si="19"/>
        <v>15</v>
      </c>
      <c r="AU101" s="68"/>
      <c r="AV101" s="68"/>
      <c r="AW101" s="68"/>
      <c r="AX101" s="68"/>
      <c r="AY101" s="68"/>
      <c r="AZ101" s="68"/>
      <c r="BE101" s="55"/>
      <c r="BF101" s="55"/>
      <c r="BG101" s="55"/>
      <c r="BH101" s="55"/>
      <c r="BI101" s="55"/>
      <c r="BJ101" s="55"/>
    </row>
    <row r="102" spans="38:62" x14ac:dyDescent="0.25">
      <c r="AL102" s="222"/>
      <c r="AM102" s="392">
        <v>42101</v>
      </c>
      <c r="AN102" s="348">
        <v>13355.85</v>
      </c>
      <c r="AO102" s="146">
        <v>1396.6820999999998</v>
      </c>
      <c r="AP102" s="147">
        <v>196</v>
      </c>
      <c r="AQ102" s="59">
        <v>42101</v>
      </c>
      <c r="AR102" s="180">
        <v>13355.85</v>
      </c>
      <c r="AS102" s="61">
        <f t="shared" si="20"/>
        <v>1</v>
      </c>
      <c r="AT102" s="185">
        <f t="shared" si="19"/>
        <v>15</v>
      </c>
      <c r="AU102" s="68"/>
      <c r="AV102" s="68"/>
      <c r="AW102" s="68"/>
      <c r="AX102" s="68"/>
      <c r="AY102" s="68"/>
      <c r="AZ102" s="68"/>
      <c r="BE102" s="55"/>
      <c r="BF102" s="55"/>
      <c r="BG102" s="55"/>
      <c r="BH102" s="55"/>
      <c r="BI102" s="55"/>
      <c r="BJ102" s="55"/>
    </row>
    <row r="103" spans="38:62" x14ac:dyDescent="0.25">
      <c r="AL103" s="222"/>
      <c r="AM103" s="392">
        <v>42102</v>
      </c>
      <c r="AN103" s="348">
        <v>3637.02</v>
      </c>
      <c r="AO103" s="146">
        <v>823.54313999999999</v>
      </c>
      <c r="AP103" s="147">
        <v>120</v>
      </c>
      <c r="AQ103" s="59">
        <v>42102</v>
      </c>
      <c r="AR103" s="180">
        <v>3637.02</v>
      </c>
      <c r="AS103" s="61">
        <f t="shared" si="20"/>
        <v>1</v>
      </c>
      <c r="AT103" s="185">
        <f t="shared" si="19"/>
        <v>15</v>
      </c>
      <c r="AU103" s="68"/>
      <c r="AV103" s="68"/>
      <c r="AW103" s="68"/>
      <c r="AX103" s="68"/>
      <c r="AY103" s="68"/>
      <c r="AZ103" s="68"/>
      <c r="BE103" s="55"/>
      <c r="BF103" s="55"/>
      <c r="BG103" s="55"/>
      <c r="BH103" s="55"/>
      <c r="BI103" s="55"/>
      <c r="BJ103" s="55"/>
    </row>
    <row r="104" spans="38:62" x14ac:dyDescent="0.25">
      <c r="AL104" s="222"/>
      <c r="AM104" s="392">
        <v>42103</v>
      </c>
      <c r="AN104" s="348">
        <v>19709.509999999998</v>
      </c>
      <c r="AO104" s="146">
        <v>3935.9314599999998</v>
      </c>
      <c r="AP104" s="147">
        <v>361</v>
      </c>
      <c r="AQ104" s="59">
        <v>42103</v>
      </c>
      <c r="AR104" s="180">
        <v>19709.509999999998</v>
      </c>
      <c r="AS104" s="61">
        <f t="shared" si="20"/>
        <v>1</v>
      </c>
      <c r="AT104" s="185">
        <f t="shared" si="19"/>
        <v>15</v>
      </c>
      <c r="AU104" s="68"/>
      <c r="AV104" s="68"/>
      <c r="AW104" s="68"/>
      <c r="AX104" s="68"/>
      <c r="AY104" s="68"/>
      <c r="AZ104" s="68"/>
      <c r="BE104" s="55"/>
      <c r="BF104" s="55"/>
      <c r="BG104" s="55"/>
      <c r="BH104" s="55"/>
      <c r="BI104" s="55"/>
      <c r="BJ104" s="55"/>
    </row>
    <row r="105" spans="38:62" x14ac:dyDescent="0.25">
      <c r="AL105" s="222"/>
      <c r="AM105" s="392">
        <v>42104</v>
      </c>
      <c r="AN105" s="348">
        <v>13636.13</v>
      </c>
      <c r="AO105" s="146">
        <v>1562.5688999999998</v>
      </c>
      <c r="AP105" s="147">
        <v>107</v>
      </c>
      <c r="AQ105" s="59">
        <v>42104</v>
      </c>
      <c r="AR105" s="180">
        <v>13636.13</v>
      </c>
      <c r="AS105" s="61">
        <f t="shared" si="20"/>
        <v>1</v>
      </c>
      <c r="AT105" s="185">
        <f t="shared" si="19"/>
        <v>15</v>
      </c>
      <c r="AU105" s="68"/>
      <c r="AV105" s="68"/>
      <c r="AW105" s="68"/>
      <c r="AX105" s="68"/>
      <c r="AY105" s="68"/>
      <c r="AZ105" s="68"/>
      <c r="BE105" s="55"/>
      <c r="BF105" s="55"/>
      <c r="BG105" s="55"/>
      <c r="BH105" s="55"/>
      <c r="BI105" s="55"/>
      <c r="BJ105" s="55"/>
    </row>
    <row r="106" spans="38:62" x14ac:dyDescent="0.25">
      <c r="AL106" s="222"/>
      <c r="AM106" s="392">
        <v>42105</v>
      </c>
      <c r="AN106" s="348">
        <v>954.94</v>
      </c>
      <c r="AO106" s="146">
        <v>166.29429999999996</v>
      </c>
      <c r="AP106" s="147">
        <v>66</v>
      </c>
      <c r="AQ106" s="59">
        <v>42105</v>
      </c>
      <c r="AR106" s="180">
        <v>954.94</v>
      </c>
      <c r="AS106" s="61">
        <f t="shared" si="20"/>
        <v>1</v>
      </c>
      <c r="AT106" s="185">
        <f t="shared" si="19"/>
        <v>15</v>
      </c>
      <c r="AU106" s="68"/>
      <c r="AV106" s="68"/>
      <c r="AW106" s="68"/>
      <c r="AX106" s="68"/>
      <c r="AY106" s="68"/>
      <c r="AZ106" s="68"/>
      <c r="BE106" s="55"/>
      <c r="BF106" s="55"/>
      <c r="BG106" s="55"/>
      <c r="BH106" s="55"/>
      <c r="BI106" s="55"/>
      <c r="BJ106" s="55"/>
    </row>
    <row r="107" spans="38:62" x14ac:dyDescent="0.25">
      <c r="AL107" s="222"/>
      <c r="AM107" s="392">
        <v>42106</v>
      </c>
      <c r="AN107" s="348">
        <v>490</v>
      </c>
      <c r="AO107" s="146">
        <v>-945.48928799999999</v>
      </c>
      <c r="AP107" s="147">
        <v>26</v>
      </c>
      <c r="AQ107" s="59">
        <v>42106</v>
      </c>
      <c r="AR107" s="180">
        <v>490</v>
      </c>
      <c r="AS107" s="61">
        <f t="shared" si="20"/>
        <v>1</v>
      </c>
      <c r="AT107" s="185">
        <f t="shared" si="19"/>
        <v>16</v>
      </c>
      <c r="AU107" s="68"/>
      <c r="AV107" s="68"/>
      <c r="AW107" s="68"/>
      <c r="AX107" s="68"/>
      <c r="AY107" s="68"/>
      <c r="AZ107" s="68"/>
      <c r="BE107" s="55"/>
      <c r="BF107" s="55"/>
      <c r="BG107" s="55"/>
      <c r="BH107" s="55"/>
      <c r="BI107" s="55"/>
      <c r="BJ107" s="55"/>
    </row>
    <row r="108" spans="38:62" x14ac:dyDescent="0.25">
      <c r="AL108" s="222"/>
      <c r="AM108" s="392">
        <v>42107</v>
      </c>
      <c r="AN108" s="348">
        <v>3318.93</v>
      </c>
      <c r="AO108" s="146">
        <v>1204.0263599999998</v>
      </c>
      <c r="AP108" s="147">
        <v>76</v>
      </c>
      <c r="AQ108" s="59">
        <v>42107</v>
      </c>
      <c r="AR108" s="180">
        <v>3318.93</v>
      </c>
      <c r="AS108" s="61">
        <f t="shared" si="20"/>
        <v>1</v>
      </c>
      <c r="AT108" s="185">
        <f t="shared" si="19"/>
        <v>16</v>
      </c>
      <c r="AU108" s="68"/>
      <c r="AV108" s="68"/>
      <c r="AW108" s="68"/>
      <c r="AX108" s="68"/>
      <c r="AY108" s="68"/>
      <c r="AZ108" s="68"/>
      <c r="BE108" s="55"/>
      <c r="BF108" s="55"/>
      <c r="BG108" s="55"/>
      <c r="BH108" s="55"/>
      <c r="BI108" s="55"/>
      <c r="BJ108" s="55"/>
    </row>
    <row r="109" spans="38:62" x14ac:dyDescent="0.25">
      <c r="AL109" s="222"/>
      <c r="AM109" s="392">
        <v>42108</v>
      </c>
      <c r="AN109" s="348">
        <v>1809.72</v>
      </c>
      <c r="AO109" s="146">
        <v>-932.17820600000005</v>
      </c>
      <c r="AP109" s="147">
        <v>17</v>
      </c>
      <c r="AQ109" s="59">
        <v>42108</v>
      </c>
      <c r="AR109" s="180">
        <v>1809.72</v>
      </c>
      <c r="AS109" s="61">
        <f t="shared" si="20"/>
        <v>1</v>
      </c>
      <c r="AT109" s="185">
        <f t="shared" si="19"/>
        <v>16</v>
      </c>
      <c r="AU109" s="68"/>
      <c r="AV109" s="68"/>
      <c r="AW109" s="68"/>
      <c r="AX109" s="68"/>
      <c r="AY109" s="68"/>
      <c r="AZ109" s="68"/>
      <c r="BE109" s="55"/>
      <c r="BF109" s="55"/>
      <c r="BG109" s="55"/>
      <c r="BH109" s="55"/>
      <c r="BI109" s="55"/>
      <c r="BJ109" s="55"/>
    </row>
    <row r="110" spans="38:62" x14ac:dyDescent="0.25">
      <c r="AL110" s="222"/>
      <c r="AM110" s="392">
        <v>42109</v>
      </c>
      <c r="AN110" s="348">
        <v>6553.25</v>
      </c>
      <c r="AO110" s="146">
        <v>-1574.1900479999997</v>
      </c>
      <c r="AP110" s="147">
        <v>249</v>
      </c>
      <c r="AQ110" s="59">
        <v>42109</v>
      </c>
      <c r="AR110" s="180">
        <v>6553.25</v>
      </c>
      <c r="AS110" s="61">
        <f t="shared" si="20"/>
        <v>1</v>
      </c>
      <c r="AT110" s="185">
        <f t="shared" si="19"/>
        <v>16</v>
      </c>
      <c r="AU110" s="68"/>
      <c r="AV110" s="68"/>
      <c r="AW110" s="68"/>
      <c r="AX110" s="68"/>
      <c r="AY110" s="68"/>
      <c r="AZ110" s="68"/>
      <c r="BE110" s="55"/>
      <c r="BF110" s="55"/>
      <c r="BG110" s="55"/>
      <c r="BH110" s="55"/>
      <c r="BI110" s="55"/>
      <c r="BJ110" s="55"/>
    </row>
    <row r="111" spans="38:62" x14ac:dyDescent="0.25">
      <c r="AL111" s="222"/>
      <c r="AM111" s="392">
        <v>42110</v>
      </c>
      <c r="AN111" s="348">
        <v>5886.63</v>
      </c>
      <c r="AO111" s="146">
        <v>-3995.8900000000003</v>
      </c>
      <c r="AP111" s="147">
        <v>20</v>
      </c>
      <c r="AQ111" s="59">
        <v>42110</v>
      </c>
      <c r="AR111" s="180">
        <v>5886.63</v>
      </c>
      <c r="AS111" s="61">
        <f t="shared" si="20"/>
        <v>1</v>
      </c>
      <c r="AT111" s="185">
        <f t="shared" si="19"/>
        <v>16</v>
      </c>
      <c r="AU111" s="68"/>
      <c r="AV111" s="68"/>
      <c r="AW111" s="68"/>
      <c r="AX111" s="68"/>
      <c r="AY111" s="68"/>
      <c r="AZ111" s="68"/>
      <c r="BE111" s="55"/>
      <c r="BF111" s="55"/>
      <c r="BG111" s="55"/>
      <c r="BH111" s="55"/>
      <c r="BI111" s="55"/>
      <c r="BJ111" s="55"/>
    </row>
    <row r="112" spans="38:62" x14ac:dyDescent="0.25">
      <c r="AL112" s="222"/>
      <c r="AM112" s="392">
        <v>42111</v>
      </c>
      <c r="AN112" s="348">
        <v>13273.29</v>
      </c>
      <c r="AO112" s="146">
        <v>-15762.591588000001</v>
      </c>
      <c r="AP112" s="147">
        <v>76</v>
      </c>
      <c r="AQ112" s="59">
        <v>42111</v>
      </c>
      <c r="AR112" s="180">
        <v>13273.29</v>
      </c>
      <c r="AS112" s="61">
        <f t="shared" si="20"/>
        <v>1</v>
      </c>
      <c r="AT112" s="185">
        <f t="shared" si="19"/>
        <v>16</v>
      </c>
      <c r="AU112" s="68"/>
      <c r="AV112" s="68"/>
      <c r="AW112" s="68"/>
      <c r="AX112" s="68"/>
      <c r="AY112" s="68"/>
      <c r="AZ112" s="68"/>
      <c r="BE112" s="55"/>
      <c r="BF112" s="55"/>
      <c r="BG112" s="55"/>
      <c r="BH112" s="55"/>
      <c r="BI112" s="55"/>
      <c r="BJ112" s="55"/>
    </row>
    <row r="113" spans="38:62" x14ac:dyDescent="0.25">
      <c r="AL113" s="222"/>
      <c r="AM113" s="392">
        <v>42112</v>
      </c>
      <c r="AN113" s="348">
        <v>10317.049999999999</v>
      </c>
      <c r="AO113" s="146">
        <v>1003.6260999999998</v>
      </c>
      <c r="AP113" s="147">
        <v>209</v>
      </c>
      <c r="AQ113" s="59">
        <v>42112</v>
      </c>
      <c r="AR113" s="180">
        <v>10317.049999999999</v>
      </c>
      <c r="AS113" s="61">
        <f t="shared" si="20"/>
        <v>1</v>
      </c>
      <c r="AT113" s="185">
        <f t="shared" si="19"/>
        <v>16</v>
      </c>
      <c r="AU113" s="68"/>
      <c r="AV113" s="68"/>
      <c r="AW113" s="68"/>
      <c r="AX113" s="68"/>
      <c r="AY113" s="68"/>
      <c r="AZ113" s="68"/>
      <c r="BE113" s="55"/>
      <c r="BF113" s="55"/>
      <c r="BG113" s="55"/>
      <c r="BH113" s="55"/>
      <c r="BI113" s="55"/>
      <c r="BJ113" s="55"/>
    </row>
    <row r="114" spans="38:62" x14ac:dyDescent="0.25">
      <c r="AL114" s="222"/>
      <c r="AM114" s="392">
        <v>42113</v>
      </c>
      <c r="AN114" s="348">
        <v>7818.3</v>
      </c>
      <c r="AO114" s="146">
        <v>-1162.37878</v>
      </c>
      <c r="AP114" s="147">
        <v>81</v>
      </c>
      <c r="AQ114" s="59">
        <v>42113</v>
      </c>
      <c r="AR114" s="180">
        <v>7818.3</v>
      </c>
      <c r="AS114" s="61">
        <f t="shared" si="20"/>
        <v>1</v>
      </c>
      <c r="AT114" s="185">
        <f t="shared" si="19"/>
        <v>17</v>
      </c>
      <c r="AU114" s="68"/>
      <c r="AV114" s="68"/>
      <c r="AW114" s="68"/>
      <c r="AX114" s="68"/>
      <c r="AY114" s="68"/>
      <c r="AZ114" s="68"/>
      <c r="BE114" s="55"/>
      <c r="BF114" s="55"/>
      <c r="BG114" s="55"/>
      <c r="BH114" s="55"/>
      <c r="BI114" s="55"/>
      <c r="BJ114" s="55"/>
    </row>
    <row r="115" spans="38:62" x14ac:dyDescent="0.25">
      <c r="AL115" s="222"/>
      <c r="AM115" s="392">
        <v>42114</v>
      </c>
      <c r="AN115" s="348">
        <v>19795.490000000002</v>
      </c>
      <c r="AO115" s="146">
        <v>4078.8972800000006</v>
      </c>
      <c r="AP115" s="147">
        <v>151</v>
      </c>
      <c r="AQ115" s="59">
        <v>42114</v>
      </c>
      <c r="AR115" s="180">
        <v>19795.490000000002</v>
      </c>
      <c r="AS115" s="61">
        <f t="shared" si="20"/>
        <v>1</v>
      </c>
      <c r="AT115" s="185">
        <f t="shared" si="19"/>
        <v>17</v>
      </c>
      <c r="AU115" s="68"/>
      <c r="AV115" s="68"/>
      <c r="AW115" s="68"/>
      <c r="AX115" s="68"/>
      <c r="AY115" s="68"/>
      <c r="AZ115" s="68"/>
      <c r="BE115" s="55"/>
      <c r="BF115" s="55"/>
      <c r="BG115" s="55"/>
      <c r="BH115" s="55"/>
      <c r="BI115" s="55"/>
      <c r="BJ115" s="55"/>
    </row>
    <row r="116" spans="38:62" x14ac:dyDescent="0.25">
      <c r="AL116" s="222"/>
      <c r="AM116" s="392">
        <v>42115</v>
      </c>
      <c r="AN116" s="348">
        <v>23413.18</v>
      </c>
      <c r="AO116" s="146">
        <v>11619.664060000001</v>
      </c>
      <c r="AP116" s="147">
        <v>171</v>
      </c>
      <c r="AQ116" s="59">
        <v>42115</v>
      </c>
      <c r="AR116" s="180">
        <v>23413.18</v>
      </c>
      <c r="AS116" s="61">
        <f t="shared" si="20"/>
        <v>1</v>
      </c>
      <c r="AT116" s="185">
        <f t="shared" si="19"/>
        <v>17</v>
      </c>
      <c r="AU116" s="68"/>
      <c r="AV116" s="68"/>
      <c r="AW116" s="68"/>
      <c r="AX116" s="68"/>
      <c r="AY116" s="68"/>
      <c r="AZ116" s="68"/>
      <c r="BE116" s="55"/>
      <c r="BF116" s="55"/>
      <c r="BG116" s="55"/>
      <c r="BH116" s="55"/>
      <c r="BI116" s="55"/>
      <c r="BJ116" s="55"/>
    </row>
    <row r="117" spans="38:62" x14ac:dyDescent="0.25">
      <c r="AL117" s="222"/>
      <c r="AM117" s="392">
        <v>42116</v>
      </c>
      <c r="AN117" s="348">
        <v>2565.9</v>
      </c>
      <c r="AO117" s="146">
        <v>681.11920000000009</v>
      </c>
      <c r="AP117" s="147">
        <v>112</v>
      </c>
      <c r="AQ117" s="59">
        <v>42116</v>
      </c>
      <c r="AR117" s="180">
        <v>2565.9</v>
      </c>
      <c r="AS117" s="61">
        <f t="shared" si="20"/>
        <v>1</v>
      </c>
      <c r="AT117" s="185">
        <f t="shared" si="19"/>
        <v>17</v>
      </c>
      <c r="AU117" s="68"/>
      <c r="AV117" s="68"/>
      <c r="AW117" s="68"/>
      <c r="AX117" s="68"/>
      <c r="AY117" s="68"/>
      <c r="AZ117" s="68"/>
      <c r="BE117" s="55"/>
      <c r="BF117" s="55"/>
      <c r="BG117" s="55"/>
      <c r="BH117" s="55"/>
      <c r="BI117" s="55"/>
      <c r="BJ117" s="55"/>
    </row>
    <row r="118" spans="38:62" x14ac:dyDescent="0.25">
      <c r="AL118" s="222"/>
      <c r="AM118" s="392">
        <v>42117</v>
      </c>
      <c r="AN118" s="348">
        <v>10621.21</v>
      </c>
      <c r="AO118" s="146">
        <v>-594.80456000000004</v>
      </c>
      <c r="AP118" s="147">
        <v>56</v>
      </c>
      <c r="AQ118" s="59">
        <v>42117</v>
      </c>
      <c r="AR118" s="180">
        <v>10621.21</v>
      </c>
      <c r="AS118" s="61">
        <f t="shared" si="20"/>
        <v>1</v>
      </c>
      <c r="AT118" s="185">
        <f t="shared" si="19"/>
        <v>17</v>
      </c>
      <c r="AU118" s="68"/>
      <c r="AV118" s="68"/>
      <c r="AW118" s="68"/>
      <c r="AX118" s="68"/>
      <c r="AY118" s="68"/>
      <c r="AZ118" s="68"/>
      <c r="BE118" s="55"/>
      <c r="BF118" s="55"/>
      <c r="BG118" s="55"/>
      <c r="BH118" s="55"/>
      <c r="BI118" s="55"/>
      <c r="BJ118" s="55"/>
    </row>
    <row r="119" spans="38:62" x14ac:dyDescent="0.25">
      <c r="AL119" s="222"/>
      <c r="AM119" s="392">
        <v>42118</v>
      </c>
      <c r="AN119" s="348">
        <v>2152.5300000000002</v>
      </c>
      <c r="AO119" s="146">
        <v>1136.6990000000001</v>
      </c>
      <c r="AP119" s="147">
        <v>52</v>
      </c>
      <c r="AQ119" s="59">
        <v>42118</v>
      </c>
      <c r="AR119" s="180">
        <v>2152.5300000000002</v>
      </c>
      <c r="AS119" s="61">
        <f t="shared" si="20"/>
        <v>1</v>
      </c>
      <c r="AT119" s="185">
        <f t="shared" si="19"/>
        <v>17</v>
      </c>
      <c r="AU119" s="68"/>
      <c r="AV119" s="68"/>
      <c r="AW119" s="68"/>
      <c r="AX119" s="68"/>
      <c r="AY119" s="68"/>
      <c r="AZ119" s="68"/>
      <c r="BE119" s="55"/>
      <c r="BF119" s="55"/>
      <c r="BG119" s="55"/>
      <c r="BH119" s="55"/>
      <c r="BI119" s="55"/>
      <c r="BJ119" s="55"/>
    </row>
    <row r="120" spans="38:62" x14ac:dyDescent="0.25">
      <c r="AL120" s="222"/>
      <c r="AM120" s="392">
        <v>42119</v>
      </c>
      <c r="AN120" s="348">
        <v>37768.199999999997</v>
      </c>
      <c r="AO120" s="146">
        <v>10634.296399999999</v>
      </c>
      <c r="AP120" s="147">
        <v>159</v>
      </c>
      <c r="AQ120" s="59">
        <v>42119</v>
      </c>
      <c r="AR120" s="180">
        <v>37768.199999999997</v>
      </c>
      <c r="AS120" s="61">
        <f t="shared" si="20"/>
        <v>1</v>
      </c>
      <c r="AT120" s="185">
        <f t="shared" si="19"/>
        <v>17</v>
      </c>
      <c r="AU120" s="68"/>
      <c r="AV120" s="68"/>
      <c r="AW120" s="68"/>
      <c r="AX120" s="68"/>
      <c r="AY120" s="68"/>
      <c r="AZ120" s="68"/>
      <c r="BE120" s="55"/>
      <c r="BF120" s="55"/>
      <c r="BG120" s="55"/>
      <c r="BH120" s="55"/>
      <c r="BI120" s="55"/>
      <c r="BJ120" s="55"/>
    </row>
    <row r="121" spans="38:62" x14ac:dyDescent="0.25">
      <c r="AL121" s="222"/>
      <c r="AM121" s="392">
        <v>42120</v>
      </c>
      <c r="AN121" s="348">
        <v>12354.36</v>
      </c>
      <c r="AO121" s="146">
        <v>3162.2311</v>
      </c>
      <c r="AP121" s="147">
        <v>96</v>
      </c>
      <c r="AQ121" s="59">
        <v>42120</v>
      </c>
      <c r="AR121" s="180">
        <v>12354.36</v>
      </c>
      <c r="AS121" s="61">
        <f t="shared" si="20"/>
        <v>1</v>
      </c>
      <c r="AT121" s="185">
        <f t="shared" si="19"/>
        <v>18</v>
      </c>
      <c r="AU121" s="68"/>
      <c r="AV121" s="68"/>
      <c r="AW121" s="68"/>
      <c r="AX121" s="68"/>
      <c r="AY121" s="68"/>
      <c r="AZ121" s="68"/>
      <c r="BE121" s="55"/>
      <c r="BF121" s="55"/>
      <c r="BG121" s="55"/>
      <c r="BH121" s="55"/>
      <c r="BI121" s="55"/>
      <c r="BJ121" s="55"/>
    </row>
    <row r="122" spans="38:62" x14ac:dyDescent="0.25">
      <c r="AL122" s="222"/>
      <c r="AM122" s="392">
        <v>42121</v>
      </c>
      <c r="AN122" s="348">
        <v>5296.63</v>
      </c>
      <c r="AO122" s="146">
        <v>1465.7903600000002</v>
      </c>
      <c r="AP122" s="147">
        <v>68</v>
      </c>
      <c r="AQ122" s="59">
        <v>42121</v>
      </c>
      <c r="AR122" s="180">
        <v>5296.63</v>
      </c>
      <c r="AS122" s="61">
        <f t="shared" si="20"/>
        <v>1</v>
      </c>
      <c r="AT122" s="185">
        <f t="shared" si="19"/>
        <v>18</v>
      </c>
      <c r="AU122" s="68"/>
      <c r="AV122" s="68"/>
      <c r="AW122" s="68"/>
      <c r="AX122" s="68"/>
      <c r="AY122" s="68"/>
      <c r="AZ122" s="68"/>
      <c r="BE122" s="55"/>
      <c r="BF122" s="55"/>
      <c r="BG122" s="55"/>
      <c r="BH122" s="55"/>
      <c r="BI122" s="55"/>
      <c r="BJ122" s="55"/>
    </row>
    <row r="123" spans="38:62" x14ac:dyDescent="0.25">
      <c r="AL123" s="222"/>
      <c r="AM123" s="392">
        <v>42122</v>
      </c>
      <c r="AN123" s="348">
        <v>31319</v>
      </c>
      <c r="AO123" s="146">
        <v>4706.247220000002</v>
      </c>
      <c r="AP123" s="147">
        <v>318</v>
      </c>
      <c r="AQ123" s="59">
        <v>42122</v>
      </c>
      <c r="AR123" s="180">
        <v>31319</v>
      </c>
      <c r="AS123" s="61">
        <f t="shared" si="20"/>
        <v>1</v>
      </c>
      <c r="AT123" s="185">
        <f t="shared" si="19"/>
        <v>18</v>
      </c>
      <c r="AU123" s="68"/>
      <c r="AV123" s="68"/>
      <c r="AW123" s="68"/>
      <c r="AX123" s="68"/>
      <c r="AY123" s="68"/>
      <c r="AZ123" s="68"/>
      <c r="BE123" s="55"/>
      <c r="BF123" s="55"/>
      <c r="BG123" s="55"/>
      <c r="BH123" s="55"/>
      <c r="BI123" s="55"/>
      <c r="BJ123" s="55"/>
    </row>
    <row r="124" spans="38:62" x14ac:dyDescent="0.25">
      <c r="AL124" s="222"/>
      <c r="AM124" s="392">
        <v>42123</v>
      </c>
      <c r="AN124" s="348">
        <v>3561.59</v>
      </c>
      <c r="AO124" s="146">
        <v>667.25720000000001</v>
      </c>
      <c r="AP124" s="147">
        <v>105</v>
      </c>
      <c r="AQ124" s="59">
        <v>42123</v>
      </c>
      <c r="AR124" s="180">
        <v>3561.59</v>
      </c>
      <c r="AS124" s="61">
        <f t="shared" si="20"/>
        <v>1</v>
      </c>
      <c r="AT124" s="185">
        <f t="shared" si="19"/>
        <v>18</v>
      </c>
      <c r="AU124" s="68"/>
      <c r="AV124" s="68"/>
      <c r="AW124" s="68"/>
      <c r="AX124" s="68"/>
      <c r="AY124" s="68"/>
      <c r="AZ124" s="68"/>
      <c r="BE124" s="55"/>
      <c r="BF124" s="55"/>
      <c r="BG124" s="55"/>
      <c r="BH124" s="55"/>
      <c r="BI124" s="55"/>
      <c r="BJ124" s="55"/>
    </row>
    <row r="125" spans="38:62" ht="15.75" thickBot="1" x14ac:dyDescent="0.3">
      <c r="AL125" s="222"/>
      <c r="AM125" s="393">
        <v>42124</v>
      </c>
      <c r="AN125" s="348">
        <v>9015.7999999999993</v>
      </c>
      <c r="AO125" s="146">
        <v>4801.0758399999995</v>
      </c>
      <c r="AP125" s="147">
        <v>191</v>
      </c>
      <c r="AQ125" s="59">
        <v>42124</v>
      </c>
      <c r="AR125" s="180">
        <v>9015.7999999999993</v>
      </c>
      <c r="AS125" s="61">
        <f t="shared" si="20"/>
        <v>1</v>
      </c>
      <c r="AT125" s="185">
        <f t="shared" si="19"/>
        <v>18</v>
      </c>
      <c r="AU125" s="68"/>
      <c r="AV125" s="68"/>
      <c r="AW125" s="68"/>
      <c r="AX125" s="68"/>
      <c r="AY125" s="68"/>
      <c r="AZ125" s="68"/>
      <c r="BE125" s="55"/>
      <c r="BF125" s="55"/>
      <c r="BG125" s="55"/>
      <c r="BH125" s="55"/>
      <c r="BI125" s="55"/>
      <c r="BJ125" s="55"/>
    </row>
    <row r="126" spans="38:62" x14ac:dyDescent="0.25">
      <c r="AL126" s="225" t="s">
        <v>3047</v>
      </c>
      <c r="AM126" s="391">
        <v>42125</v>
      </c>
      <c r="AN126" s="409">
        <v>1701.6</v>
      </c>
      <c r="AO126" s="365">
        <v>-770.36460000000011</v>
      </c>
      <c r="AP126" s="367">
        <v>179</v>
      </c>
      <c r="AQ126" s="59">
        <v>42125</v>
      </c>
      <c r="AR126" s="180">
        <v>1701.6</v>
      </c>
      <c r="AS126" s="61">
        <f t="shared" si="20"/>
        <v>1</v>
      </c>
      <c r="AT126" s="185">
        <f t="shared" si="19"/>
        <v>18</v>
      </c>
      <c r="AU126" s="68"/>
      <c r="AV126" s="68"/>
      <c r="AW126" s="68"/>
      <c r="AX126" s="68"/>
      <c r="AY126" s="68"/>
      <c r="AZ126" s="68"/>
      <c r="BE126" s="55"/>
      <c r="BF126" s="55"/>
      <c r="BG126" s="55"/>
      <c r="BH126" s="55"/>
      <c r="BI126" s="55"/>
      <c r="BJ126" s="55"/>
    </row>
    <row r="127" spans="38:62" x14ac:dyDescent="0.25">
      <c r="AL127" s="222"/>
      <c r="AM127" s="392">
        <v>42126</v>
      </c>
      <c r="AN127" s="348">
        <v>12530.77</v>
      </c>
      <c r="AO127" s="146">
        <v>988.12239999999997</v>
      </c>
      <c r="AP127" s="147">
        <v>226</v>
      </c>
      <c r="AQ127" s="59">
        <v>42126</v>
      </c>
      <c r="AR127" s="180">
        <v>12530.77</v>
      </c>
      <c r="AS127" s="61">
        <f t="shared" si="20"/>
        <v>1</v>
      </c>
      <c r="AT127" s="185">
        <f t="shared" si="19"/>
        <v>18</v>
      </c>
      <c r="AU127" s="68"/>
      <c r="AV127" s="68"/>
      <c r="AW127" s="68"/>
      <c r="AX127" s="68"/>
      <c r="AY127" s="68"/>
      <c r="AZ127" s="68"/>
      <c r="BE127" s="55"/>
      <c r="BF127" s="55"/>
      <c r="BG127" s="55"/>
      <c r="BH127" s="55"/>
      <c r="BI127" s="55"/>
      <c r="BJ127" s="55"/>
    </row>
    <row r="128" spans="38:62" x14ac:dyDescent="0.25">
      <c r="AL128" s="222"/>
      <c r="AM128" s="392">
        <v>42127</v>
      </c>
      <c r="AN128" s="348">
        <v>21562.16</v>
      </c>
      <c r="AO128" s="146">
        <v>2647.8308999999995</v>
      </c>
      <c r="AP128" s="147">
        <v>374</v>
      </c>
      <c r="AQ128" s="59">
        <v>42127</v>
      </c>
      <c r="AR128" s="180">
        <v>21562.16</v>
      </c>
      <c r="AS128" s="61">
        <f t="shared" si="20"/>
        <v>1</v>
      </c>
      <c r="AT128" s="185">
        <f t="shared" si="19"/>
        <v>19</v>
      </c>
      <c r="AU128" s="68"/>
      <c r="AV128" s="68"/>
      <c r="AW128" s="68"/>
      <c r="AX128" s="68"/>
      <c r="AY128" s="68"/>
      <c r="AZ128" s="68"/>
      <c r="BE128" s="55"/>
      <c r="BF128" s="55"/>
      <c r="BG128" s="55"/>
      <c r="BH128" s="55"/>
      <c r="BI128" s="55"/>
      <c r="BJ128" s="55"/>
    </row>
    <row r="129" spans="38:62" x14ac:dyDescent="0.25">
      <c r="AL129" s="222"/>
      <c r="AM129" s="392">
        <v>42128</v>
      </c>
      <c r="AN129" s="348">
        <v>7375.22</v>
      </c>
      <c r="AO129" s="146">
        <v>3755.5654000000004</v>
      </c>
      <c r="AP129" s="147">
        <v>192</v>
      </c>
      <c r="AQ129" s="59">
        <v>42128</v>
      </c>
      <c r="AR129" s="180">
        <v>7375.22</v>
      </c>
      <c r="AS129" s="61">
        <f t="shared" si="20"/>
        <v>1</v>
      </c>
      <c r="AT129" s="185">
        <f t="shared" si="19"/>
        <v>19</v>
      </c>
      <c r="AU129" s="68"/>
      <c r="AV129" s="68"/>
      <c r="AW129" s="68"/>
      <c r="AX129" s="68"/>
      <c r="AY129" s="68"/>
      <c r="AZ129" s="68"/>
      <c r="BE129" s="55"/>
      <c r="BF129" s="55"/>
      <c r="BG129" s="55"/>
      <c r="BH129" s="55"/>
      <c r="BI129" s="55"/>
      <c r="BJ129" s="55"/>
    </row>
    <row r="130" spans="38:62" x14ac:dyDescent="0.25">
      <c r="AL130" s="222"/>
      <c r="AM130" s="392">
        <v>42129</v>
      </c>
      <c r="AN130" s="348">
        <v>25136.13</v>
      </c>
      <c r="AO130" s="146">
        <v>7753.8048999999992</v>
      </c>
      <c r="AP130" s="147">
        <v>236</v>
      </c>
      <c r="AQ130" s="59">
        <v>42129</v>
      </c>
      <c r="AR130" s="180">
        <v>25136.13</v>
      </c>
      <c r="AS130" s="61">
        <f t="shared" si="20"/>
        <v>1</v>
      </c>
      <c r="AT130" s="185">
        <f t="shared" si="19"/>
        <v>19</v>
      </c>
      <c r="AU130" s="68"/>
      <c r="AV130" s="68"/>
      <c r="AW130" s="68"/>
      <c r="AX130" s="68"/>
      <c r="AY130" s="68"/>
      <c r="AZ130" s="68"/>
      <c r="BE130" s="55"/>
      <c r="BF130" s="55"/>
      <c r="BG130" s="55"/>
      <c r="BH130" s="55"/>
      <c r="BI130" s="55"/>
      <c r="BJ130" s="55"/>
    </row>
    <row r="131" spans="38:62" x14ac:dyDescent="0.25">
      <c r="AL131" s="222"/>
      <c r="AM131" s="392">
        <v>42130</v>
      </c>
      <c r="AN131" s="348">
        <v>992.07</v>
      </c>
      <c r="AO131" s="146">
        <v>-640.10440000000006</v>
      </c>
      <c r="AP131" s="147">
        <v>39</v>
      </c>
      <c r="AQ131" s="59">
        <v>42130</v>
      </c>
      <c r="AR131" s="180">
        <v>992.07</v>
      </c>
      <c r="AS131" s="61">
        <f t="shared" si="20"/>
        <v>1</v>
      </c>
      <c r="AT131" s="185">
        <f t="shared" si="19"/>
        <v>19</v>
      </c>
      <c r="AU131" s="68"/>
      <c r="AV131" s="68"/>
      <c r="AW131" s="68"/>
      <c r="AX131" s="68"/>
      <c r="AY131" s="68"/>
      <c r="AZ131" s="68"/>
      <c r="BE131" s="55"/>
      <c r="BF131" s="55"/>
      <c r="BG131" s="55"/>
      <c r="BH131" s="55"/>
      <c r="BI131" s="55"/>
      <c r="BJ131" s="55"/>
    </row>
    <row r="132" spans="38:62" x14ac:dyDescent="0.25">
      <c r="AL132" s="222"/>
      <c r="AM132" s="392">
        <v>42131</v>
      </c>
      <c r="AN132" s="348">
        <v>3652.49</v>
      </c>
      <c r="AO132" s="146">
        <v>-934.82810000000006</v>
      </c>
      <c r="AP132" s="147">
        <v>102</v>
      </c>
      <c r="AQ132" s="59">
        <v>42131</v>
      </c>
      <c r="AR132" s="180">
        <v>3652.49</v>
      </c>
      <c r="AS132" s="61">
        <f t="shared" si="20"/>
        <v>1</v>
      </c>
      <c r="AT132" s="185">
        <f t="shared" si="19"/>
        <v>19</v>
      </c>
      <c r="AU132" s="68"/>
      <c r="AV132" s="68"/>
      <c r="AW132" s="68"/>
      <c r="AX132" s="68"/>
      <c r="AY132" s="68"/>
      <c r="AZ132" s="68"/>
      <c r="BE132" s="55"/>
      <c r="BF132" s="55"/>
      <c r="BG132" s="55"/>
      <c r="BH132" s="55"/>
      <c r="BI132" s="55"/>
      <c r="BJ132" s="55"/>
    </row>
    <row r="133" spans="38:62" x14ac:dyDescent="0.25">
      <c r="AL133" s="222"/>
      <c r="AM133" s="392">
        <v>42132</v>
      </c>
      <c r="AN133" s="348">
        <v>8591.7800000000007</v>
      </c>
      <c r="AO133" s="146">
        <v>1396.5057000000002</v>
      </c>
      <c r="AP133" s="147">
        <v>126</v>
      </c>
      <c r="AQ133" s="59">
        <v>42132</v>
      </c>
      <c r="AR133" s="180">
        <v>8591.7800000000007</v>
      </c>
      <c r="AS133" s="61">
        <f t="shared" si="20"/>
        <v>1</v>
      </c>
      <c r="AT133" s="185">
        <f t="shared" si="19"/>
        <v>19</v>
      </c>
      <c r="AU133" s="68"/>
      <c r="AV133" s="68"/>
      <c r="AW133" s="68"/>
      <c r="AX133" s="68"/>
      <c r="AY133" s="68"/>
      <c r="AZ133" s="68"/>
      <c r="BE133" s="55"/>
      <c r="BF133" s="55"/>
      <c r="BG133" s="55"/>
      <c r="BH133" s="55"/>
      <c r="BI133" s="55"/>
      <c r="BJ133" s="55"/>
    </row>
    <row r="134" spans="38:62" x14ac:dyDescent="0.25">
      <c r="AL134" s="222"/>
      <c r="AM134" s="392">
        <v>42133</v>
      </c>
      <c r="AN134" s="348">
        <v>909.09</v>
      </c>
      <c r="AO134" s="146">
        <v>-384.05230000000006</v>
      </c>
      <c r="AP134" s="147">
        <v>77</v>
      </c>
      <c r="AQ134" s="59">
        <v>42133</v>
      </c>
      <c r="AR134" s="180">
        <v>909.09</v>
      </c>
      <c r="AS134" s="61">
        <f t="shared" si="20"/>
        <v>1</v>
      </c>
      <c r="AT134" s="185">
        <f t="shared" si="19"/>
        <v>19</v>
      </c>
      <c r="AU134" s="68"/>
      <c r="AV134" s="68"/>
      <c r="AW134" s="68"/>
      <c r="AX134" s="68"/>
      <c r="AY134" s="68"/>
      <c r="AZ134" s="68"/>
      <c r="BE134" s="55"/>
      <c r="BF134" s="55"/>
      <c r="BG134" s="55"/>
      <c r="BH134" s="55"/>
      <c r="BI134" s="55"/>
      <c r="BJ134" s="55"/>
    </row>
    <row r="135" spans="38:62" x14ac:dyDescent="0.25">
      <c r="AL135" s="222"/>
      <c r="AM135" s="392">
        <v>42134</v>
      </c>
      <c r="AN135" s="348">
        <v>4957.99</v>
      </c>
      <c r="AO135" s="146">
        <v>680.46446000000014</v>
      </c>
      <c r="AP135" s="147">
        <v>121</v>
      </c>
      <c r="AQ135" s="59">
        <v>42134</v>
      </c>
      <c r="AR135" s="180">
        <v>4957.99</v>
      </c>
      <c r="AS135" s="61">
        <f t="shared" si="20"/>
        <v>1</v>
      </c>
      <c r="AT135" s="185">
        <f t="shared" si="19"/>
        <v>20</v>
      </c>
      <c r="AU135" s="68"/>
      <c r="AV135" s="68"/>
      <c r="AW135" s="68"/>
      <c r="AX135" s="68"/>
      <c r="AY135" s="68"/>
      <c r="AZ135" s="68"/>
      <c r="BE135" s="55"/>
      <c r="BF135" s="55"/>
      <c r="BG135" s="55"/>
      <c r="BH135" s="55"/>
      <c r="BI135" s="55"/>
      <c r="BJ135" s="55"/>
    </row>
    <row r="136" spans="38:62" x14ac:dyDescent="0.25">
      <c r="AL136" s="222"/>
      <c r="AM136" s="392">
        <v>42135</v>
      </c>
      <c r="AN136" s="348">
        <v>10693.7</v>
      </c>
      <c r="AO136" s="146">
        <v>4763.5048999999999</v>
      </c>
      <c r="AP136" s="147">
        <v>110</v>
      </c>
      <c r="AQ136" s="59">
        <v>42135</v>
      </c>
      <c r="AR136" s="180">
        <v>10693.7</v>
      </c>
      <c r="AS136" s="61">
        <f t="shared" si="20"/>
        <v>1</v>
      </c>
      <c r="AT136" s="185">
        <f t="shared" ref="AT136:AT185" si="21">WEEKNUM(AQ136)</f>
        <v>20</v>
      </c>
      <c r="AU136" s="68"/>
      <c r="AV136" s="68"/>
      <c r="AW136" s="68"/>
      <c r="AX136" s="68"/>
      <c r="AY136" s="68"/>
      <c r="AZ136" s="68"/>
      <c r="BE136" s="55"/>
      <c r="BF136" s="55"/>
      <c r="BG136" s="55"/>
      <c r="BH136" s="55"/>
      <c r="BI136" s="55"/>
      <c r="BJ136" s="55"/>
    </row>
    <row r="137" spans="38:62" x14ac:dyDescent="0.25">
      <c r="AL137" s="222"/>
      <c r="AM137" s="392">
        <v>42136</v>
      </c>
      <c r="AN137" s="348">
        <v>6177.17</v>
      </c>
      <c r="AO137" s="146">
        <v>-787.51750000000004</v>
      </c>
      <c r="AP137" s="147">
        <v>64</v>
      </c>
      <c r="AQ137" s="59">
        <v>42136</v>
      </c>
      <c r="AR137" s="180">
        <v>6177.17</v>
      </c>
      <c r="AS137" s="61">
        <f t="shared" si="20"/>
        <v>1</v>
      </c>
      <c r="AT137" s="185">
        <f t="shared" si="21"/>
        <v>20</v>
      </c>
      <c r="AU137" s="68"/>
      <c r="AV137" s="68"/>
      <c r="AW137" s="68"/>
      <c r="AX137" s="68"/>
      <c r="AY137" s="68"/>
      <c r="AZ137" s="68"/>
      <c r="BE137" s="55"/>
      <c r="BF137" s="55"/>
      <c r="BG137" s="55"/>
      <c r="BH137" s="55"/>
      <c r="BI137" s="55"/>
      <c r="BJ137" s="55"/>
    </row>
    <row r="138" spans="38:62" x14ac:dyDescent="0.25">
      <c r="AL138" s="222"/>
      <c r="AM138" s="392">
        <v>42137</v>
      </c>
      <c r="AN138" s="348">
        <v>2629.94</v>
      </c>
      <c r="AO138" s="146">
        <v>700.7734999999999</v>
      </c>
      <c r="AP138" s="147">
        <v>85</v>
      </c>
      <c r="AQ138" s="59">
        <v>42137</v>
      </c>
      <c r="AR138" s="180">
        <v>2629.94</v>
      </c>
      <c r="AS138" s="61">
        <f t="shared" ref="AS138:AS185" si="22">IF(AR138=0,0,1)</f>
        <v>1</v>
      </c>
      <c r="AT138" s="185">
        <f t="shared" si="21"/>
        <v>20</v>
      </c>
      <c r="AU138" s="68"/>
      <c r="AV138" s="68"/>
      <c r="AW138" s="68"/>
      <c r="AX138" s="68"/>
      <c r="AY138" s="68"/>
      <c r="AZ138" s="68"/>
      <c r="BE138" s="55"/>
      <c r="BF138" s="55"/>
      <c r="BG138" s="55"/>
      <c r="BH138" s="55"/>
      <c r="BI138" s="55"/>
      <c r="BJ138" s="55"/>
    </row>
    <row r="139" spans="38:62" x14ac:dyDescent="0.25">
      <c r="AL139" s="222"/>
      <c r="AM139" s="392">
        <v>42138</v>
      </c>
      <c r="AN139" s="348">
        <v>7935.95</v>
      </c>
      <c r="AO139" s="146">
        <v>744.44989999999984</v>
      </c>
      <c r="AP139" s="147">
        <v>172</v>
      </c>
      <c r="AQ139" s="59">
        <v>42138</v>
      </c>
      <c r="AR139" s="180">
        <v>7935.95</v>
      </c>
      <c r="AS139" s="61">
        <f t="shared" si="22"/>
        <v>1</v>
      </c>
      <c r="AT139" s="185">
        <f t="shared" si="21"/>
        <v>20</v>
      </c>
      <c r="AU139" s="68"/>
      <c r="AV139" s="68"/>
      <c r="AW139" s="68"/>
      <c r="AX139" s="68"/>
      <c r="AY139" s="68"/>
      <c r="AZ139" s="68"/>
      <c r="BE139" s="55"/>
      <c r="BF139" s="55"/>
      <c r="BG139" s="55"/>
      <c r="BH139" s="55"/>
      <c r="BI139" s="55"/>
      <c r="BJ139" s="55"/>
    </row>
    <row r="140" spans="38:62" x14ac:dyDescent="0.25">
      <c r="AL140" s="222"/>
      <c r="AM140" s="392">
        <v>42139</v>
      </c>
      <c r="AN140" s="348">
        <v>6688.99</v>
      </c>
      <c r="AO140" s="146">
        <v>2094.3651999999997</v>
      </c>
      <c r="AP140" s="147">
        <v>252</v>
      </c>
      <c r="AQ140" s="59">
        <v>42139</v>
      </c>
      <c r="AR140" s="180">
        <v>6688.99</v>
      </c>
      <c r="AS140" s="61">
        <f t="shared" si="22"/>
        <v>1</v>
      </c>
      <c r="AT140" s="185">
        <f t="shared" si="21"/>
        <v>20</v>
      </c>
      <c r="AU140" s="68"/>
      <c r="AV140" s="68"/>
      <c r="AW140" s="68"/>
      <c r="AX140" s="68"/>
      <c r="AY140" s="68"/>
      <c r="AZ140" s="68"/>
      <c r="BE140" s="55"/>
      <c r="BF140" s="55"/>
      <c r="BG140" s="55"/>
      <c r="BH140" s="55"/>
      <c r="BI140" s="55"/>
      <c r="BJ140" s="55"/>
    </row>
    <row r="141" spans="38:62" x14ac:dyDescent="0.25">
      <c r="AL141" s="222"/>
      <c r="AM141" s="392">
        <v>42140</v>
      </c>
      <c r="AN141" s="348">
        <v>10835.31</v>
      </c>
      <c r="AO141" s="146">
        <v>2517.1757000000002</v>
      </c>
      <c r="AP141" s="147">
        <v>354</v>
      </c>
      <c r="AQ141" s="59">
        <v>42140</v>
      </c>
      <c r="AR141" s="180">
        <v>10835.31</v>
      </c>
      <c r="AS141" s="61">
        <f t="shared" si="22"/>
        <v>1</v>
      </c>
      <c r="AT141" s="185">
        <f t="shared" si="21"/>
        <v>20</v>
      </c>
      <c r="AU141" s="68"/>
      <c r="AV141" s="68"/>
      <c r="AW141" s="68"/>
      <c r="AX141" s="68"/>
      <c r="AY141" s="68"/>
      <c r="AZ141" s="68"/>
      <c r="BE141" s="55"/>
      <c r="BF141" s="55"/>
      <c r="BG141" s="55"/>
      <c r="BH141" s="55"/>
      <c r="BI141" s="55"/>
      <c r="BJ141" s="55"/>
    </row>
    <row r="142" spans="38:62" x14ac:dyDescent="0.25">
      <c r="AL142" s="222"/>
      <c r="AM142" s="392">
        <v>42141</v>
      </c>
      <c r="AN142" s="348">
        <v>7930.9</v>
      </c>
      <c r="AO142" s="146">
        <v>4618.9149999999991</v>
      </c>
      <c r="AP142" s="147">
        <v>188</v>
      </c>
      <c r="AQ142" s="59">
        <v>42141</v>
      </c>
      <c r="AR142" s="180">
        <v>7930.9</v>
      </c>
      <c r="AS142" s="61">
        <f t="shared" si="22"/>
        <v>1</v>
      </c>
      <c r="AT142" s="185">
        <f t="shared" si="21"/>
        <v>21</v>
      </c>
      <c r="AU142" s="68"/>
      <c r="AV142" s="68"/>
      <c r="AW142" s="68"/>
      <c r="AX142" s="68"/>
      <c r="AY142" s="68"/>
      <c r="AZ142" s="68"/>
      <c r="BE142" s="55"/>
      <c r="BF142" s="55"/>
      <c r="BG142" s="55"/>
      <c r="BH142" s="55"/>
      <c r="BI142" s="55"/>
      <c r="BJ142" s="55"/>
    </row>
    <row r="143" spans="38:62" x14ac:dyDescent="0.25">
      <c r="AL143" s="222"/>
      <c r="AM143" s="392">
        <v>42142</v>
      </c>
      <c r="AN143" s="348">
        <v>1916.8</v>
      </c>
      <c r="AO143" s="146">
        <v>818.43549999999993</v>
      </c>
      <c r="AP143" s="147">
        <v>76</v>
      </c>
      <c r="AQ143" s="59">
        <v>42142</v>
      </c>
      <c r="AR143" s="180">
        <v>1916.8</v>
      </c>
      <c r="AS143" s="61">
        <f t="shared" si="22"/>
        <v>1</v>
      </c>
      <c r="AT143" s="185">
        <f t="shared" si="21"/>
        <v>21</v>
      </c>
      <c r="AU143" s="68"/>
      <c r="AV143" s="68"/>
      <c r="AW143" s="68"/>
      <c r="AX143" s="68"/>
      <c r="AY143" s="68"/>
      <c r="AZ143" s="68"/>
      <c r="BE143" s="55"/>
      <c r="BF143" s="55"/>
      <c r="BG143" s="55"/>
      <c r="BH143" s="55"/>
      <c r="BI143" s="55"/>
      <c r="BJ143" s="55"/>
    </row>
    <row r="144" spans="38:62" x14ac:dyDescent="0.25">
      <c r="AL144" s="222"/>
      <c r="AM144" s="392">
        <v>42143</v>
      </c>
      <c r="AN144" s="348">
        <v>7445.03</v>
      </c>
      <c r="AO144" s="146">
        <v>1442.5620000000001</v>
      </c>
      <c r="AP144" s="147">
        <v>64</v>
      </c>
      <c r="AQ144" s="59">
        <v>42143</v>
      </c>
      <c r="AR144" s="180">
        <v>7445.03</v>
      </c>
      <c r="AS144" s="61">
        <f t="shared" si="22"/>
        <v>1</v>
      </c>
      <c r="AT144" s="185">
        <f t="shared" si="21"/>
        <v>21</v>
      </c>
      <c r="AU144" s="68"/>
      <c r="AV144" s="68"/>
      <c r="AW144" s="68"/>
      <c r="AX144" s="68"/>
      <c r="AY144" s="68"/>
      <c r="AZ144" s="68"/>
      <c r="BE144" s="55"/>
      <c r="BF144" s="55"/>
      <c r="BG144" s="55"/>
      <c r="BH144" s="55"/>
      <c r="BI144" s="55"/>
      <c r="BJ144" s="55"/>
    </row>
    <row r="145" spans="38:62" x14ac:dyDescent="0.25">
      <c r="AL145" s="222"/>
      <c r="AM145" s="392">
        <v>42144</v>
      </c>
      <c r="AN145" s="348">
        <v>24061.33</v>
      </c>
      <c r="AO145" s="146">
        <v>4955.3722353999992</v>
      </c>
      <c r="AP145" s="147">
        <v>442</v>
      </c>
      <c r="AQ145" s="59">
        <v>42144</v>
      </c>
      <c r="AR145" s="180">
        <v>24061.33</v>
      </c>
      <c r="AS145" s="61">
        <f t="shared" si="22"/>
        <v>1</v>
      </c>
      <c r="AT145" s="185">
        <f t="shared" si="21"/>
        <v>21</v>
      </c>
      <c r="AU145" s="68"/>
      <c r="AV145" s="68"/>
      <c r="AW145" s="68"/>
      <c r="AX145" s="68"/>
      <c r="AY145" s="68"/>
      <c r="AZ145" s="68"/>
      <c r="BE145" s="55"/>
      <c r="BF145" s="55"/>
      <c r="BG145" s="55"/>
      <c r="BH145" s="55"/>
      <c r="BI145" s="55"/>
      <c r="BJ145" s="55"/>
    </row>
    <row r="146" spans="38:62" x14ac:dyDescent="0.25">
      <c r="AL146" s="222"/>
      <c r="AM146" s="392">
        <v>42145</v>
      </c>
      <c r="AN146" s="348">
        <v>6585.4</v>
      </c>
      <c r="AO146" s="146">
        <v>818.88679999999988</v>
      </c>
      <c r="AP146" s="147">
        <v>391</v>
      </c>
      <c r="AQ146" s="59">
        <v>42145</v>
      </c>
      <c r="AR146" s="180">
        <v>6585.4</v>
      </c>
      <c r="AS146" s="61">
        <f t="shared" si="22"/>
        <v>1</v>
      </c>
      <c r="AT146" s="185">
        <f t="shared" si="21"/>
        <v>21</v>
      </c>
      <c r="AU146" s="68"/>
      <c r="AV146" s="68"/>
      <c r="AW146" s="68"/>
      <c r="AX146" s="68"/>
      <c r="AY146" s="68"/>
      <c r="AZ146" s="68"/>
      <c r="BE146" s="55"/>
      <c r="BF146" s="55"/>
      <c r="BG146" s="55"/>
      <c r="BH146" s="55"/>
      <c r="BI146" s="55"/>
      <c r="BJ146" s="55"/>
    </row>
    <row r="147" spans="38:62" x14ac:dyDescent="0.25">
      <c r="AL147" s="222"/>
      <c r="AM147" s="392">
        <v>42146</v>
      </c>
      <c r="AN147" s="348">
        <v>13664.44</v>
      </c>
      <c r="AO147" s="146">
        <v>2413.3752999999997</v>
      </c>
      <c r="AP147" s="147">
        <v>312</v>
      </c>
      <c r="AQ147" s="59">
        <v>42146</v>
      </c>
      <c r="AR147" s="180">
        <v>13664.44</v>
      </c>
      <c r="AS147" s="61">
        <f t="shared" si="22"/>
        <v>1</v>
      </c>
      <c r="AT147" s="185">
        <f t="shared" si="21"/>
        <v>21</v>
      </c>
      <c r="AU147" s="68"/>
      <c r="AV147" s="68"/>
      <c r="AW147" s="68"/>
      <c r="AX147" s="68"/>
      <c r="AY147" s="68"/>
      <c r="AZ147" s="68"/>
      <c r="BE147" s="55"/>
      <c r="BF147" s="55"/>
      <c r="BG147" s="55"/>
      <c r="BH147" s="55"/>
      <c r="BI147" s="55"/>
      <c r="BJ147" s="55"/>
    </row>
    <row r="148" spans="38:62" x14ac:dyDescent="0.25">
      <c r="AL148" s="222"/>
      <c r="AM148" s="392">
        <v>42147</v>
      </c>
      <c r="AN148" s="348">
        <v>20716.77</v>
      </c>
      <c r="AO148" s="146">
        <v>7920.5575999999992</v>
      </c>
      <c r="AP148" s="147">
        <v>295</v>
      </c>
      <c r="AQ148" s="59">
        <v>42147</v>
      </c>
      <c r="AR148" s="180">
        <v>20716.77</v>
      </c>
      <c r="AS148" s="61">
        <f t="shared" si="22"/>
        <v>1</v>
      </c>
      <c r="AT148" s="185">
        <f t="shared" si="21"/>
        <v>21</v>
      </c>
      <c r="AU148" s="68"/>
      <c r="AV148" s="68"/>
      <c r="AW148" s="68"/>
      <c r="AX148" s="68"/>
      <c r="AY148" s="68"/>
      <c r="AZ148" s="68"/>
      <c r="BE148" s="55"/>
      <c r="BF148" s="55"/>
      <c r="BG148" s="55"/>
      <c r="BH148" s="55"/>
      <c r="BI148" s="55"/>
      <c r="BJ148" s="55"/>
    </row>
    <row r="149" spans="38:62" x14ac:dyDescent="0.25">
      <c r="AL149" s="222"/>
      <c r="AM149" s="392">
        <v>42148</v>
      </c>
      <c r="AN149" s="348">
        <v>11562.93</v>
      </c>
      <c r="AO149" s="146">
        <v>2504.8658629999991</v>
      </c>
      <c r="AP149" s="147">
        <v>166</v>
      </c>
      <c r="AQ149" s="59">
        <v>42148</v>
      </c>
      <c r="AR149" s="180">
        <v>11562.93</v>
      </c>
      <c r="AS149" s="61">
        <f t="shared" si="22"/>
        <v>1</v>
      </c>
      <c r="AT149" s="185">
        <f t="shared" si="21"/>
        <v>22</v>
      </c>
      <c r="AU149" s="68"/>
      <c r="AV149" s="68"/>
      <c r="AW149" s="68"/>
      <c r="AX149" s="68"/>
      <c r="AY149" s="68"/>
      <c r="AZ149" s="68"/>
      <c r="BE149" s="55"/>
      <c r="BF149" s="55"/>
      <c r="BG149" s="55"/>
      <c r="BH149" s="55"/>
      <c r="BI149" s="55"/>
      <c r="BJ149" s="55"/>
    </row>
    <row r="150" spans="38:62" x14ac:dyDescent="0.25">
      <c r="AL150" s="222"/>
      <c r="AM150" s="392">
        <v>42149</v>
      </c>
      <c r="AN150" s="348">
        <v>12568.22</v>
      </c>
      <c r="AO150" s="146">
        <v>5923.3522999999977</v>
      </c>
      <c r="AP150" s="147">
        <v>224</v>
      </c>
      <c r="AQ150" s="59">
        <v>42149</v>
      </c>
      <c r="AR150" s="180">
        <v>12568.22</v>
      </c>
      <c r="AS150" s="61">
        <f t="shared" si="22"/>
        <v>1</v>
      </c>
      <c r="AT150" s="185">
        <f t="shared" si="21"/>
        <v>22</v>
      </c>
      <c r="AU150" s="68"/>
      <c r="AV150" s="68"/>
      <c r="AW150" s="68"/>
      <c r="AX150" s="68"/>
      <c r="AY150" s="68"/>
      <c r="AZ150" s="68"/>
      <c r="BE150" s="55"/>
      <c r="BF150" s="55"/>
      <c r="BG150" s="55"/>
      <c r="BH150" s="55"/>
      <c r="BI150" s="55"/>
      <c r="BJ150" s="55"/>
    </row>
    <row r="151" spans="38:62" x14ac:dyDescent="0.25">
      <c r="AL151" s="222"/>
      <c r="AM151" s="392">
        <v>42150</v>
      </c>
      <c r="AN151" s="348">
        <v>3439.78</v>
      </c>
      <c r="AO151" s="146">
        <v>967.03590000000008</v>
      </c>
      <c r="AP151" s="147">
        <v>126</v>
      </c>
      <c r="AQ151" s="59">
        <v>42150</v>
      </c>
      <c r="AR151" s="180">
        <v>3439.78</v>
      </c>
      <c r="AS151" s="61">
        <f t="shared" si="22"/>
        <v>1</v>
      </c>
      <c r="AT151" s="185">
        <f t="shared" si="21"/>
        <v>22</v>
      </c>
      <c r="AU151" s="68"/>
      <c r="AV151" s="68"/>
      <c r="AW151" s="68"/>
      <c r="AX151" s="68"/>
      <c r="AY151" s="68"/>
      <c r="AZ151" s="68"/>
      <c r="BE151" s="55"/>
      <c r="BF151" s="55"/>
      <c r="BG151" s="55"/>
      <c r="BH151" s="55"/>
      <c r="BI151" s="55"/>
      <c r="BJ151" s="55"/>
    </row>
    <row r="152" spans="38:62" x14ac:dyDescent="0.25">
      <c r="AL152" s="222"/>
      <c r="AM152" s="392">
        <v>42151</v>
      </c>
      <c r="AN152" s="348">
        <v>1071.55</v>
      </c>
      <c r="AO152" s="146">
        <v>103.14739999999998</v>
      </c>
      <c r="AP152" s="147">
        <v>55</v>
      </c>
      <c r="AQ152" s="59">
        <v>42151</v>
      </c>
      <c r="AR152" s="180">
        <v>1071.55</v>
      </c>
      <c r="AS152" s="61">
        <f t="shared" si="22"/>
        <v>1</v>
      </c>
      <c r="AT152" s="185">
        <f t="shared" si="21"/>
        <v>22</v>
      </c>
      <c r="AU152" s="68"/>
      <c r="AV152" s="68"/>
      <c r="AW152" s="68"/>
      <c r="AX152" s="68"/>
      <c r="AY152" s="68"/>
      <c r="AZ152" s="68"/>
      <c r="BE152" s="55"/>
      <c r="BF152" s="55"/>
      <c r="BG152" s="55"/>
      <c r="BH152" s="55"/>
      <c r="BI152" s="55"/>
      <c r="BJ152" s="55"/>
    </row>
    <row r="153" spans="38:62" x14ac:dyDescent="0.25">
      <c r="AL153" s="222"/>
      <c r="AM153" s="392">
        <v>42152</v>
      </c>
      <c r="AN153" s="348">
        <v>5378.71</v>
      </c>
      <c r="AO153" s="146">
        <v>782.6089999999997</v>
      </c>
      <c r="AP153" s="147">
        <v>166</v>
      </c>
      <c r="AQ153" s="59">
        <v>42152</v>
      </c>
      <c r="AR153" s="180">
        <v>5378.71</v>
      </c>
      <c r="AS153" s="61">
        <f t="shared" si="22"/>
        <v>1</v>
      </c>
      <c r="AT153" s="185">
        <f t="shared" si="21"/>
        <v>22</v>
      </c>
      <c r="AU153" s="68"/>
      <c r="AV153" s="68"/>
      <c r="AW153" s="68"/>
      <c r="AX153" s="68"/>
      <c r="AY153" s="68"/>
      <c r="AZ153" s="68"/>
      <c r="BE153" s="55"/>
      <c r="BF153" s="55"/>
      <c r="BG153" s="55"/>
      <c r="BH153" s="55"/>
      <c r="BI153" s="55"/>
      <c r="BJ153" s="55"/>
    </row>
    <row r="154" spans="38:62" x14ac:dyDescent="0.25">
      <c r="AL154" s="222"/>
      <c r="AM154" s="392">
        <v>42153</v>
      </c>
      <c r="AN154" s="348">
        <v>36735.800000000003</v>
      </c>
      <c r="AO154" s="146">
        <v>764.35759999999982</v>
      </c>
      <c r="AP154" s="147">
        <v>403</v>
      </c>
      <c r="AQ154" s="59">
        <v>42153</v>
      </c>
      <c r="AR154" s="180">
        <v>36735.800000000003</v>
      </c>
      <c r="AS154" s="61">
        <f t="shared" si="22"/>
        <v>1</v>
      </c>
      <c r="AT154" s="185">
        <f t="shared" si="21"/>
        <v>22</v>
      </c>
      <c r="AU154" s="68"/>
      <c r="AV154" s="68"/>
      <c r="AW154" s="68"/>
      <c r="AX154" s="68"/>
      <c r="AY154" s="68"/>
      <c r="AZ154" s="68"/>
      <c r="BE154" s="55"/>
      <c r="BF154" s="55"/>
      <c r="BG154" s="55"/>
      <c r="BH154" s="55"/>
      <c r="BI154" s="55"/>
      <c r="BJ154" s="55"/>
    </row>
    <row r="155" spans="38:62" ht="15.75" thickBot="1" x14ac:dyDescent="0.3">
      <c r="AL155" s="222"/>
      <c r="AM155" s="393">
        <v>42154</v>
      </c>
      <c r="AN155" s="348">
        <v>4782.83</v>
      </c>
      <c r="AO155" s="146">
        <v>2467.7805999999996</v>
      </c>
      <c r="AP155" s="147">
        <v>138</v>
      </c>
      <c r="AQ155" s="59">
        <v>42154</v>
      </c>
      <c r="AR155" s="180">
        <v>4782.83</v>
      </c>
      <c r="AS155" s="61">
        <f t="shared" si="22"/>
        <v>1</v>
      </c>
      <c r="AT155" s="185">
        <f t="shared" si="21"/>
        <v>22</v>
      </c>
      <c r="AU155" s="68"/>
      <c r="AV155" s="68"/>
      <c r="AW155" s="68"/>
      <c r="AX155" s="68"/>
      <c r="AY155" s="68"/>
      <c r="AZ155" s="68"/>
      <c r="BE155" s="55"/>
      <c r="BF155" s="55"/>
      <c r="BG155" s="55"/>
      <c r="BH155" s="55"/>
      <c r="BI155" s="55"/>
      <c r="BJ155" s="55"/>
    </row>
    <row r="156" spans="38:62" x14ac:dyDescent="0.25">
      <c r="AL156" s="225" t="s">
        <v>3048</v>
      </c>
      <c r="AM156" s="391">
        <v>42156</v>
      </c>
      <c r="AN156" s="409">
        <v>6929.82</v>
      </c>
      <c r="AO156" s="365">
        <v>-2598.6374000000005</v>
      </c>
      <c r="AP156" s="367">
        <v>160</v>
      </c>
      <c r="AQ156" s="59">
        <v>42156</v>
      </c>
      <c r="AR156" s="180">
        <v>6929.82</v>
      </c>
      <c r="AS156" s="61">
        <f t="shared" si="22"/>
        <v>1</v>
      </c>
      <c r="AT156" s="185">
        <f t="shared" si="21"/>
        <v>23</v>
      </c>
      <c r="AU156" s="68"/>
      <c r="AV156" s="68"/>
      <c r="AW156" s="68"/>
      <c r="AX156" s="68"/>
      <c r="AY156" s="68"/>
      <c r="AZ156" s="68"/>
      <c r="BE156" s="55"/>
      <c r="BF156" s="55"/>
      <c r="BG156" s="55"/>
      <c r="BH156" s="55"/>
      <c r="BI156" s="55"/>
      <c r="BJ156" s="55"/>
    </row>
    <row r="157" spans="38:62" x14ac:dyDescent="0.25">
      <c r="AL157" s="222"/>
      <c r="AM157" s="392">
        <v>42157</v>
      </c>
      <c r="AN157" s="348">
        <v>4790.6899999999996</v>
      </c>
      <c r="AO157" s="146">
        <v>764.93802000000017</v>
      </c>
      <c r="AP157" s="147">
        <v>124</v>
      </c>
      <c r="AQ157" s="59">
        <v>42157</v>
      </c>
      <c r="AR157" s="180">
        <v>4790.6899999999996</v>
      </c>
      <c r="AS157" s="61">
        <f t="shared" si="22"/>
        <v>1</v>
      </c>
      <c r="AT157" s="185">
        <f t="shared" si="21"/>
        <v>23</v>
      </c>
      <c r="AU157" s="68"/>
      <c r="AV157" s="68"/>
      <c r="AW157" s="68"/>
      <c r="AX157" s="68"/>
      <c r="AY157" s="68"/>
      <c r="AZ157" s="68"/>
      <c r="BE157" s="55"/>
      <c r="BF157" s="55"/>
      <c r="BG157" s="55"/>
      <c r="BH157" s="55"/>
      <c r="BI157" s="55"/>
      <c r="BJ157" s="55"/>
    </row>
    <row r="158" spans="38:62" x14ac:dyDescent="0.25">
      <c r="AL158" s="222"/>
      <c r="AM158" s="392">
        <v>42158</v>
      </c>
      <c r="AN158" s="348">
        <v>10096.129999999999</v>
      </c>
      <c r="AO158" s="146">
        <v>2179.1922000000004</v>
      </c>
      <c r="AP158" s="147">
        <v>101</v>
      </c>
      <c r="AQ158" s="59">
        <v>42158</v>
      </c>
      <c r="AR158" s="180">
        <v>10096.129999999999</v>
      </c>
      <c r="AS158" s="61">
        <f t="shared" si="22"/>
        <v>1</v>
      </c>
      <c r="AT158" s="185">
        <f t="shared" si="21"/>
        <v>23</v>
      </c>
      <c r="AU158" s="68"/>
      <c r="AV158" s="68"/>
      <c r="AW158" s="68"/>
      <c r="AX158" s="68"/>
      <c r="AY158" s="68"/>
      <c r="AZ158" s="68"/>
      <c r="BE158" s="55"/>
      <c r="BF158" s="55"/>
      <c r="BG158" s="55"/>
      <c r="BH158" s="55"/>
      <c r="BI158" s="55"/>
      <c r="BJ158" s="55"/>
    </row>
    <row r="159" spans="38:62" x14ac:dyDescent="0.25">
      <c r="AL159" s="222"/>
      <c r="AM159" s="392">
        <v>42159</v>
      </c>
      <c r="AN159" s="348">
        <v>4178.57</v>
      </c>
      <c r="AO159" s="146">
        <v>-2047.4392</v>
      </c>
      <c r="AP159" s="147">
        <v>131</v>
      </c>
      <c r="AQ159" s="59">
        <v>42159</v>
      </c>
      <c r="AR159" s="180">
        <v>4178.57</v>
      </c>
      <c r="AS159" s="61">
        <f t="shared" si="22"/>
        <v>1</v>
      </c>
      <c r="AT159" s="185">
        <f t="shared" si="21"/>
        <v>23</v>
      </c>
      <c r="AU159" s="68"/>
      <c r="AV159" s="68"/>
      <c r="AW159" s="68"/>
      <c r="AX159" s="68"/>
      <c r="AY159" s="68"/>
      <c r="AZ159" s="68"/>
      <c r="BE159" s="55"/>
      <c r="BF159" s="55"/>
      <c r="BG159" s="55"/>
      <c r="BH159" s="55"/>
      <c r="BI159" s="55"/>
      <c r="BJ159" s="55"/>
    </row>
    <row r="160" spans="38:62" x14ac:dyDescent="0.25">
      <c r="AL160" s="222"/>
      <c r="AM160" s="392">
        <v>42160</v>
      </c>
      <c r="AN160" s="348">
        <v>30105.89</v>
      </c>
      <c r="AO160" s="146">
        <v>12962.235400000005</v>
      </c>
      <c r="AP160" s="147">
        <v>170</v>
      </c>
      <c r="AQ160" s="59">
        <v>42160</v>
      </c>
      <c r="AR160" s="180">
        <v>30105.89</v>
      </c>
      <c r="AS160" s="61">
        <f t="shared" si="22"/>
        <v>1</v>
      </c>
      <c r="AT160" s="185">
        <f t="shared" si="21"/>
        <v>23</v>
      </c>
      <c r="AU160" s="68"/>
      <c r="AV160" s="68"/>
      <c r="AW160" s="68"/>
      <c r="AX160" s="68"/>
      <c r="AY160" s="68"/>
      <c r="AZ160" s="68"/>
      <c r="BE160" s="55"/>
      <c r="BF160" s="55"/>
      <c r="BG160" s="55"/>
      <c r="BH160" s="55"/>
      <c r="BI160" s="55"/>
      <c r="BJ160" s="55"/>
    </row>
    <row r="161" spans="38:62" x14ac:dyDescent="0.25">
      <c r="AL161" s="222"/>
      <c r="AM161" s="392">
        <v>42161</v>
      </c>
      <c r="AN161" s="348">
        <v>23121.02</v>
      </c>
      <c r="AO161" s="146">
        <v>1944.0435000000002</v>
      </c>
      <c r="AP161" s="147">
        <v>378</v>
      </c>
      <c r="AQ161" s="59">
        <v>42161</v>
      </c>
      <c r="AR161" s="180">
        <v>23121.02</v>
      </c>
      <c r="AS161" s="61">
        <f t="shared" si="22"/>
        <v>1</v>
      </c>
      <c r="AT161" s="185">
        <f t="shared" si="21"/>
        <v>23</v>
      </c>
      <c r="AU161" s="68"/>
      <c r="AV161" s="68"/>
      <c r="AW161" s="68"/>
      <c r="AX161" s="68"/>
      <c r="AY161" s="68"/>
      <c r="AZ161" s="68"/>
      <c r="BE161" s="55"/>
      <c r="BF161" s="55"/>
      <c r="BG161" s="55"/>
      <c r="BH161" s="55"/>
      <c r="BI161" s="55"/>
      <c r="BJ161" s="55"/>
    </row>
    <row r="162" spans="38:62" x14ac:dyDescent="0.25">
      <c r="AL162" s="222"/>
      <c r="AM162" s="392">
        <v>42162</v>
      </c>
      <c r="AN162" s="348">
        <v>16260.81</v>
      </c>
      <c r="AO162" s="146">
        <v>5163.2090000000007</v>
      </c>
      <c r="AP162" s="147">
        <v>110</v>
      </c>
      <c r="AQ162" s="59">
        <v>42162</v>
      </c>
      <c r="AR162" s="180">
        <v>16260.81</v>
      </c>
      <c r="AS162" s="61">
        <f t="shared" si="22"/>
        <v>1</v>
      </c>
      <c r="AT162" s="185">
        <f t="shared" si="21"/>
        <v>24</v>
      </c>
      <c r="AU162" s="68"/>
      <c r="AV162" s="68"/>
      <c r="AW162" s="68"/>
      <c r="AX162" s="68"/>
      <c r="AY162" s="68"/>
      <c r="AZ162" s="68"/>
      <c r="BE162" s="55"/>
      <c r="BF162" s="55"/>
      <c r="BG162" s="55"/>
      <c r="BH162" s="55"/>
      <c r="BI162" s="55"/>
      <c r="BJ162" s="55"/>
    </row>
    <row r="163" spans="38:62" x14ac:dyDescent="0.25">
      <c r="AL163" s="222"/>
      <c r="AM163" s="392">
        <v>42163</v>
      </c>
      <c r="AN163" s="348">
        <v>5137.93</v>
      </c>
      <c r="AO163" s="146">
        <v>3545.1716999999999</v>
      </c>
      <c r="AP163" s="147">
        <v>33</v>
      </c>
      <c r="AQ163" s="59">
        <v>42163</v>
      </c>
      <c r="AR163" s="180">
        <v>5137.93</v>
      </c>
      <c r="AS163" s="61">
        <f t="shared" si="22"/>
        <v>1</v>
      </c>
      <c r="AT163" s="185">
        <f t="shared" si="21"/>
        <v>24</v>
      </c>
      <c r="AU163" s="68"/>
      <c r="AV163" s="68"/>
      <c r="AW163" s="68"/>
      <c r="AX163" s="68"/>
      <c r="AY163" s="68"/>
      <c r="AZ163" s="68"/>
      <c r="BE163" s="55"/>
      <c r="BF163" s="55"/>
      <c r="BG163" s="55"/>
      <c r="BH163" s="55"/>
      <c r="BI163" s="55"/>
      <c r="BJ163" s="55"/>
    </row>
    <row r="164" spans="38:62" x14ac:dyDescent="0.25">
      <c r="AL164" s="222"/>
      <c r="AM164" s="392">
        <v>42164</v>
      </c>
      <c r="AN164" s="348">
        <v>1229.07</v>
      </c>
      <c r="AO164" s="146">
        <v>-89.617950000000008</v>
      </c>
      <c r="AP164" s="147">
        <v>74</v>
      </c>
      <c r="AQ164" s="59">
        <v>42164</v>
      </c>
      <c r="AR164" s="180">
        <v>1229.07</v>
      </c>
      <c r="AS164" s="61">
        <f t="shared" si="22"/>
        <v>1</v>
      </c>
      <c r="AT164" s="185">
        <f t="shared" si="21"/>
        <v>24</v>
      </c>
      <c r="AU164" s="68"/>
      <c r="AV164" s="68"/>
      <c r="AW164" s="68"/>
      <c r="AX164" s="68"/>
      <c r="AY164" s="68"/>
      <c r="AZ164" s="68"/>
      <c r="BE164" s="55"/>
      <c r="BF164" s="55"/>
      <c r="BG164" s="55"/>
      <c r="BH164" s="55"/>
      <c r="BI164" s="55"/>
      <c r="BJ164" s="55"/>
    </row>
    <row r="165" spans="38:62" x14ac:dyDescent="0.25">
      <c r="AL165" s="222"/>
      <c r="AM165" s="392">
        <v>42165</v>
      </c>
      <c r="AN165" s="348">
        <v>1807.72</v>
      </c>
      <c r="AO165" s="146">
        <v>-136.99259999999998</v>
      </c>
      <c r="AP165" s="147">
        <v>86</v>
      </c>
      <c r="AQ165" s="59">
        <v>42165</v>
      </c>
      <c r="AR165" s="180">
        <v>1807.72</v>
      </c>
      <c r="AS165" s="61">
        <f t="shared" si="22"/>
        <v>1</v>
      </c>
      <c r="AT165" s="185">
        <f t="shared" si="21"/>
        <v>24</v>
      </c>
      <c r="AU165" s="68"/>
      <c r="AV165" s="68"/>
      <c r="AW165" s="68"/>
      <c r="AX165" s="68"/>
      <c r="AY165" s="68"/>
      <c r="AZ165" s="68"/>
      <c r="BE165" s="55"/>
      <c r="BF165" s="55"/>
      <c r="BG165" s="55"/>
      <c r="BH165" s="55"/>
      <c r="BI165" s="55"/>
      <c r="BJ165" s="55"/>
    </row>
    <row r="166" spans="38:62" x14ac:dyDescent="0.25">
      <c r="AL166" s="222"/>
      <c r="AM166" s="392">
        <v>42166</v>
      </c>
      <c r="AN166" s="348">
        <v>19228.73</v>
      </c>
      <c r="AO166" s="146">
        <v>2333.3247000000006</v>
      </c>
      <c r="AP166" s="147">
        <v>411</v>
      </c>
      <c r="AQ166" s="59">
        <v>42166</v>
      </c>
      <c r="AR166" s="180">
        <v>19228.73</v>
      </c>
      <c r="AS166" s="61">
        <f t="shared" si="22"/>
        <v>1</v>
      </c>
      <c r="AT166" s="185">
        <f t="shared" si="21"/>
        <v>24</v>
      </c>
      <c r="AU166" s="68"/>
      <c r="AV166" s="68"/>
      <c r="AW166" s="68"/>
      <c r="AX166" s="68"/>
      <c r="AY166" s="68"/>
      <c r="AZ166" s="68"/>
      <c r="BE166" s="55"/>
      <c r="BF166" s="55"/>
      <c r="BG166" s="55"/>
      <c r="BH166" s="55"/>
      <c r="BI166" s="55"/>
      <c r="BJ166" s="55"/>
    </row>
    <row r="167" spans="38:62" x14ac:dyDescent="0.25">
      <c r="AL167" s="222"/>
      <c r="AM167" s="392">
        <v>42167</v>
      </c>
      <c r="AN167" s="348">
        <v>26689.09</v>
      </c>
      <c r="AO167" s="146">
        <v>3430.2475400000003</v>
      </c>
      <c r="AP167" s="147">
        <v>224</v>
      </c>
      <c r="AQ167" s="59">
        <v>42167</v>
      </c>
      <c r="AR167" s="180">
        <v>26689.09</v>
      </c>
      <c r="AS167" s="61">
        <f t="shared" si="22"/>
        <v>1</v>
      </c>
      <c r="AT167" s="185">
        <f t="shared" si="21"/>
        <v>24</v>
      </c>
      <c r="AU167" s="68"/>
      <c r="AV167" s="68"/>
      <c r="AW167" s="68"/>
      <c r="AX167" s="68"/>
      <c r="AY167" s="68"/>
      <c r="AZ167" s="68"/>
      <c r="BE167" s="55"/>
      <c r="BF167" s="55"/>
      <c r="BG167" s="55"/>
      <c r="BH167" s="55"/>
      <c r="BI167" s="55"/>
      <c r="BJ167" s="55"/>
    </row>
    <row r="168" spans="38:62" x14ac:dyDescent="0.25">
      <c r="AL168" s="222"/>
      <c r="AM168" s="392">
        <v>42168</v>
      </c>
      <c r="AN168" s="348">
        <v>10284.629999999999</v>
      </c>
      <c r="AO168" s="146">
        <v>4493.8972500000009</v>
      </c>
      <c r="AP168" s="147">
        <v>119</v>
      </c>
      <c r="AQ168" s="59">
        <v>42168</v>
      </c>
      <c r="AR168" s="180">
        <v>10284.629999999999</v>
      </c>
      <c r="AS168" s="61">
        <f t="shared" si="22"/>
        <v>1</v>
      </c>
      <c r="AT168" s="185">
        <f t="shared" si="21"/>
        <v>24</v>
      </c>
      <c r="AU168" s="68"/>
      <c r="AV168" s="68"/>
      <c r="AW168" s="68"/>
      <c r="AX168" s="68"/>
      <c r="AY168" s="68"/>
      <c r="AZ168" s="68"/>
      <c r="BE168" s="55"/>
      <c r="BF168" s="55"/>
      <c r="BG168" s="55"/>
      <c r="BH168" s="55"/>
      <c r="BI168" s="55"/>
      <c r="BJ168" s="55"/>
    </row>
    <row r="169" spans="38:62" x14ac:dyDescent="0.25">
      <c r="AL169" s="222"/>
      <c r="AM169" s="392">
        <v>42169</v>
      </c>
      <c r="AN169" s="348">
        <v>26719.23</v>
      </c>
      <c r="AO169" s="146">
        <v>3746.3144500000003</v>
      </c>
      <c r="AP169" s="147">
        <v>203</v>
      </c>
      <c r="AQ169" s="59">
        <v>42169</v>
      </c>
      <c r="AR169" s="180">
        <v>26719.23</v>
      </c>
      <c r="AS169" s="61">
        <f t="shared" si="22"/>
        <v>1</v>
      </c>
      <c r="AT169" s="185">
        <f t="shared" si="21"/>
        <v>25</v>
      </c>
      <c r="AU169" s="68"/>
      <c r="AV169" s="68"/>
      <c r="AW169" s="68"/>
      <c r="AX169" s="68"/>
      <c r="AY169" s="68"/>
      <c r="AZ169" s="68"/>
      <c r="BE169" s="55"/>
      <c r="BF169" s="55"/>
      <c r="BG169" s="55"/>
      <c r="BH169" s="55"/>
      <c r="BI169" s="55"/>
      <c r="BJ169" s="55"/>
    </row>
    <row r="170" spans="38:62" x14ac:dyDescent="0.25">
      <c r="AL170" s="222"/>
      <c r="AM170" s="392">
        <v>42170</v>
      </c>
      <c r="AN170" s="348">
        <v>3011.6</v>
      </c>
      <c r="AO170" s="146">
        <v>119.0458000000001</v>
      </c>
      <c r="AP170" s="147">
        <v>92</v>
      </c>
      <c r="AQ170" s="59">
        <v>42170</v>
      </c>
      <c r="AR170" s="180">
        <v>3011.6</v>
      </c>
      <c r="AS170" s="61">
        <f t="shared" si="22"/>
        <v>1</v>
      </c>
      <c r="AT170" s="185">
        <f t="shared" si="21"/>
        <v>25</v>
      </c>
      <c r="AU170" s="68"/>
      <c r="AV170" s="68"/>
      <c r="AW170" s="68"/>
      <c r="AX170" s="68"/>
      <c r="AY170" s="68"/>
      <c r="AZ170" s="68"/>
      <c r="BE170" s="55"/>
      <c r="BF170" s="55"/>
      <c r="BG170" s="55"/>
      <c r="BH170" s="55"/>
      <c r="BI170" s="55"/>
      <c r="BJ170" s="55"/>
    </row>
    <row r="171" spans="38:62" x14ac:dyDescent="0.25">
      <c r="AL171" s="222"/>
      <c r="AM171" s="392">
        <v>42171</v>
      </c>
      <c r="AN171" s="348">
        <v>3219.89</v>
      </c>
      <c r="AO171" s="146">
        <v>-56.559100000000043</v>
      </c>
      <c r="AP171" s="147">
        <v>44</v>
      </c>
      <c r="AQ171" s="59">
        <v>42171</v>
      </c>
      <c r="AR171" s="180">
        <v>3219.89</v>
      </c>
      <c r="AS171" s="61">
        <f t="shared" si="22"/>
        <v>1</v>
      </c>
      <c r="AT171" s="185">
        <f t="shared" si="21"/>
        <v>25</v>
      </c>
      <c r="AU171" s="68"/>
      <c r="AV171" s="68"/>
      <c r="AW171" s="68"/>
      <c r="AX171" s="68"/>
      <c r="AY171" s="68"/>
      <c r="AZ171" s="68"/>
      <c r="BE171" s="55"/>
      <c r="BF171" s="55"/>
      <c r="BG171" s="55"/>
      <c r="BH171" s="55"/>
      <c r="BI171" s="55"/>
      <c r="BJ171" s="55"/>
    </row>
    <row r="172" spans="38:62" x14ac:dyDescent="0.25">
      <c r="AL172" s="222"/>
      <c r="AM172" s="392">
        <v>42172</v>
      </c>
      <c r="AN172" s="348">
        <v>3968.53</v>
      </c>
      <c r="AO172" s="146">
        <v>680.72239999999977</v>
      </c>
      <c r="AP172" s="147">
        <v>225</v>
      </c>
      <c r="AQ172" s="59">
        <v>42172</v>
      </c>
      <c r="AR172" s="180">
        <v>3968.53</v>
      </c>
      <c r="AS172" s="61">
        <f t="shared" si="22"/>
        <v>1</v>
      </c>
      <c r="AT172" s="185">
        <f t="shared" si="21"/>
        <v>25</v>
      </c>
      <c r="AU172" s="68"/>
      <c r="AV172" s="68"/>
      <c r="AW172" s="68"/>
      <c r="AX172" s="68"/>
      <c r="AY172" s="68"/>
      <c r="AZ172" s="68"/>
      <c r="BE172" s="55"/>
      <c r="BF172" s="55"/>
      <c r="BG172" s="55"/>
      <c r="BH172" s="55"/>
      <c r="BI172" s="55"/>
      <c r="BJ172" s="55"/>
    </row>
    <row r="173" spans="38:62" x14ac:dyDescent="0.25">
      <c r="AL173" s="222"/>
      <c r="AM173" s="392">
        <v>42173</v>
      </c>
      <c r="AN173" s="348">
        <v>10185.36</v>
      </c>
      <c r="AO173" s="146">
        <v>-396.29529999999988</v>
      </c>
      <c r="AP173" s="147">
        <v>135</v>
      </c>
      <c r="AQ173" s="59">
        <v>42173</v>
      </c>
      <c r="AR173" s="180">
        <v>10185.36</v>
      </c>
      <c r="AS173" s="61">
        <f t="shared" si="22"/>
        <v>1</v>
      </c>
      <c r="AT173" s="185">
        <f t="shared" si="21"/>
        <v>25</v>
      </c>
      <c r="AU173" s="68"/>
      <c r="AV173" s="68"/>
      <c r="AW173" s="68"/>
      <c r="AX173" s="68"/>
      <c r="AY173" s="68"/>
      <c r="AZ173" s="68"/>
      <c r="BE173" s="55"/>
      <c r="BF173" s="55"/>
      <c r="BG173" s="55"/>
      <c r="BH173" s="55"/>
      <c r="BI173" s="55"/>
      <c r="BJ173" s="55"/>
    </row>
    <row r="174" spans="38:62" x14ac:dyDescent="0.25">
      <c r="AL174" s="222"/>
      <c r="AM174" s="392">
        <v>42174</v>
      </c>
      <c r="AN174" s="348">
        <v>12684.68</v>
      </c>
      <c r="AO174" s="146">
        <v>532.16377499999987</v>
      </c>
      <c r="AP174" s="147">
        <v>139</v>
      </c>
      <c r="AQ174" s="59">
        <v>42174</v>
      </c>
      <c r="AR174" s="180">
        <v>12684.68</v>
      </c>
      <c r="AS174" s="61">
        <f t="shared" si="22"/>
        <v>1</v>
      </c>
      <c r="AT174" s="185">
        <f t="shared" si="21"/>
        <v>25</v>
      </c>
      <c r="AU174" s="68"/>
      <c r="AV174" s="68"/>
      <c r="AW174" s="68"/>
      <c r="AX174" s="68"/>
      <c r="AY174" s="68"/>
      <c r="AZ174" s="68"/>
      <c r="BE174" s="55"/>
      <c r="BF174" s="55"/>
      <c r="BG174" s="55"/>
      <c r="BH174" s="55"/>
      <c r="BI174" s="55"/>
      <c r="BJ174" s="55"/>
    </row>
    <row r="175" spans="38:62" x14ac:dyDescent="0.25">
      <c r="AL175" s="222"/>
      <c r="AM175" s="392">
        <v>42175</v>
      </c>
      <c r="AN175" s="348">
        <v>49028.22</v>
      </c>
      <c r="AO175" s="146">
        <v>7631.5318999999981</v>
      </c>
      <c r="AP175" s="147">
        <v>194</v>
      </c>
      <c r="AQ175" s="59">
        <v>42175</v>
      </c>
      <c r="AR175" s="180">
        <v>49028.22</v>
      </c>
      <c r="AS175" s="61">
        <f t="shared" si="22"/>
        <v>1</v>
      </c>
      <c r="AT175" s="185">
        <f t="shared" si="21"/>
        <v>25</v>
      </c>
      <c r="AU175" s="68"/>
      <c r="AV175" s="68"/>
      <c r="AW175" s="68"/>
      <c r="AX175" s="68"/>
      <c r="AY175" s="68"/>
      <c r="AZ175" s="68"/>
      <c r="BE175" s="55"/>
      <c r="BF175" s="55"/>
      <c r="BG175" s="55"/>
      <c r="BH175" s="55"/>
      <c r="BI175" s="55"/>
      <c r="BJ175" s="55"/>
    </row>
    <row r="176" spans="38:62" x14ac:dyDescent="0.25">
      <c r="AL176" s="222"/>
      <c r="AM176" s="392">
        <v>42176</v>
      </c>
      <c r="AN176" s="348">
        <v>2367.9899999999998</v>
      </c>
      <c r="AO176" s="146">
        <v>145.33090000000001</v>
      </c>
      <c r="AP176" s="147">
        <v>72</v>
      </c>
      <c r="AQ176" s="59">
        <v>42176</v>
      </c>
      <c r="AR176" s="180">
        <v>2367.9899999999998</v>
      </c>
      <c r="AS176" s="61">
        <f t="shared" si="22"/>
        <v>1</v>
      </c>
      <c r="AT176" s="185">
        <f t="shared" si="21"/>
        <v>26</v>
      </c>
      <c r="AU176" s="68"/>
      <c r="AV176" s="68"/>
      <c r="AW176" s="68"/>
      <c r="AX176" s="68"/>
      <c r="AY176" s="68"/>
      <c r="AZ176" s="68"/>
      <c r="BE176" s="55"/>
      <c r="BF176" s="55"/>
      <c r="BG176" s="55"/>
      <c r="BH176" s="55"/>
      <c r="BI176" s="55"/>
      <c r="BJ176" s="55"/>
    </row>
    <row r="177" spans="38:62" x14ac:dyDescent="0.25">
      <c r="AL177" s="222"/>
      <c r="AM177" s="392">
        <v>42177</v>
      </c>
      <c r="AN177" s="348">
        <v>13650.95</v>
      </c>
      <c r="AO177" s="146">
        <v>7508.1702000000005</v>
      </c>
      <c r="AP177" s="147">
        <v>227</v>
      </c>
      <c r="AQ177" s="59">
        <v>42177</v>
      </c>
      <c r="AR177" s="180">
        <v>13650.95</v>
      </c>
      <c r="AS177" s="61">
        <f t="shared" si="22"/>
        <v>1</v>
      </c>
      <c r="AT177" s="185">
        <f t="shared" si="21"/>
        <v>26</v>
      </c>
      <c r="AU177" s="68"/>
      <c r="AV177" s="68"/>
      <c r="AW177" s="68"/>
      <c r="AX177" s="68"/>
      <c r="AY177" s="68"/>
      <c r="AZ177" s="68"/>
      <c r="BE177" s="55"/>
      <c r="BF177" s="55"/>
      <c r="BG177" s="55"/>
      <c r="BH177" s="55"/>
      <c r="BI177" s="55"/>
      <c r="BJ177" s="55"/>
    </row>
    <row r="178" spans="38:62" x14ac:dyDescent="0.25">
      <c r="AL178" s="222"/>
      <c r="AM178" s="392">
        <v>42178</v>
      </c>
      <c r="AN178" s="348">
        <v>15196.84</v>
      </c>
      <c r="AO178" s="146">
        <v>-2806.4076</v>
      </c>
      <c r="AP178" s="147">
        <v>75</v>
      </c>
      <c r="AQ178" s="59">
        <v>42178</v>
      </c>
      <c r="AR178" s="180">
        <v>15196.84</v>
      </c>
      <c r="AS178" s="61">
        <f t="shared" si="22"/>
        <v>1</v>
      </c>
      <c r="AT178" s="185">
        <f t="shared" si="21"/>
        <v>26</v>
      </c>
      <c r="AU178" s="68"/>
      <c r="AV178" s="68"/>
      <c r="AW178" s="68"/>
      <c r="AX178" s="68"/>
      <c r="AY178" s="68"/>
      <c r="AZ178" s="68"/>
      <c r="BE178" s="55"/>
      <c r="BF178" s="55"/>
      <c r="BG178" s="55"/>
      <c r="BH178" s="55"/>
      <c r="BI178" s="55"/>
      <c r="BJ178" s="55"/>
    </row>
    <row r="179" spans="38:62" x14ac:dyDescent="0.25">
      <c r="AL179" s="222"/>
      <c r="AM179" s="392">
        <v>42179</v>
      </c>
      <c r="AN179" s="348">
        <v>572.28</v>
      </c>
      <c r="AO179" s="146">
        <v>-225.53025</v>
      </c>
      <c r="AP179" s="147">
        <v>64</v>
      </c>
      <c r="AQ179" s="59">
        <v>42179</v>
      </c>
      <c r="AR179" s="180">
        <v>572.28</v>
      </c>
      <c r="AS179" s="61">
        <f t="shared" si="22"/>
        <v>1</v>
      </c>
      <c r="AT179" s="185">
        <f t="shared" si="21"/>
        <v>26</v>
      </c>
      <c r="AU179" s="68"/>
      <c r="AV179" s="68"/>
      <c r="AW179" s="68"/>
      <c r="AX179" s="68"/>
      <c r="AY179" s="68"/>
      <c r="AZ179" s="68"/>
      <c r="BE179" s="55"/>
      <c r="BF179" s="55"/>
      <c r="BG179" s="55"/>
      <c r="BH179" s="55"/>
      <c r="BI179" s="55"/>
      <c r="BJ179" s="55"/>
    </row>
    <row r="180" spans="38:62" x14ac:dyDescent="0.25">
      <c r="AL180" s="222"/>
      <c r="AM180" s="392">
        <v>42180</v>
      </c>
      <c r="AN180" s="348">
        <v>10768.77</v>
      </c>
      <c r="AO180" s="146">
        <v>3544.8427750000001</v>
      </c>
      <c r="AP180" s="147">
        <v>136</v>
      </c>
      <c r="AQ180" s="59">
        <v>42180</v>
      </c>
      <c r="AR180" s="180">
        <v>10768.77</v>
      </c>
      <c r="AS180" s="61">
        <f t="shared" si="22"/>
        <v>1</v>
      </c>
      <c r="AT180" s="185">
        <f t="shared" si="21"/>
        <v>26</v>
      </c>
      <c r="AU180" s="68"/>
      <c r="AV180" s="68"/>
      <c r="AW180" s="68"/>
      <c r="AX180" s="68"/>
      <c r="AY180" s="68"/>
      <c r="AZ180" s="68"/>
      <c r="BE180" s="55"/>
      <c r="BF180" s="55"/>
      <c r="BG180" s="55"/>
      <c r="BH180" s="55"/>
      <c r="BI180" s="55"/>
      <c r="BJ180" s="55"/>
    </row>
    <row r="181" spans="38:62" x14ac:dyDescent="0.25">
      <c r="AL181" s="222"/>
      <c r="AM181" s="392">
        <v>42181</v>
      </c>
      <c r="AN181" s="348">
        <v>7888.86</v>
      </c>
      <c r="AO181" s="146">
        <v>398.10109999999997</v>
      </c>
      <c r="AP181" s="147">
        <v>60</v>
      </c>
      <c r="AQ181" s="59">
        <v>42181</v>
      </c>
      <c r="AR181" s="180">
        <v>7888.86</v>
      </c>
      <c r="AS181" s="61">
        <f t="shared" si="22"/>
        <v>1</v>
      </c>
      <c r="AT181" s="185">
        <f t="shared" si="21"/>
        <v>26</v>
      </c>
      <c r="AU181" s="68"/>
      <c r="AV181" s="68"/>
      <c r="AW181" s="68"/>
      <c r="AX181" s="68"/>
      <c r="AY181" s="68"/>
      <c r="AZ181" s="68"/>
      <c r="BE181" s="55"/>
      <c r="BF181" s="55"/>
      <c r="BG181" s="55"/>
      <c r="BH181" s="55"/>
      <c r="BI181" s="55"/>
      <c r="BJ181" s="55"/>
    </row>
    <row r="182" spans="38:62" x14ac:dyDescent="0.25">
      <c r="AL182" s="222"/>
      <c r="AM182" s="392">
        <v>42182</v>
      </c>
      <c r="AN182" s="348">
        <v>338.41</v>
      </c>
      <c r="AO182" s="146">
        <v>-395.27629999999999</v>
      </c>
      <c r="AP182" s="147">
        <v>35</v>
      </c>
      <c r="AQ182" s="59">
        <v>42182</v>
      </c>
      <c r="AR182" s="180">
        <v>338.41</v>
      </c>
      <c r="AS182" s="61">
        <f t="shared" si="22"/>
        <v>1</v>
      </c>
      <c r="AT182" s="185">
        <f t="shared" si="21"/>
        <v>26</v>
      </c>
      <c r="AU182" s="68"/>
      <c r="AV182" s="68"/>
      <c r="AW182" s="68"/>
      <c r="AX182" s="68"/>
      <c r="AY182" s="68"/>
      <c r="AZ182" s="68"/>
      <c r="BE182" s="55"/>
      <c r="BF182" s="55"/>
      <c r="BG182" s="55"/>
      <c r="BH182" s="55"/>
      <c r="BI182" s="55"/>
      <c r="BJ182" s="55"/>
    </row>
    <row r="183" spans="38:62" x14ac:dyDescent="0.25">
      <c r="AL183" s="222"/>
      <c r="AM183" s="392">
        <v>42183</v>
      </c>
      <c r="AN183" s="348">
        <v>7990.09</v>
      </c>
      <c r="AO183" s="146">
        <v>1187.9525999999994</v>
      </c>
      <c r="AP183" s="147">
        <v>163</v>
      </c>
      <c r="AQ183" s="59">
        <v>42183</v>
      </c>
      <c r="AR183" s="180">
        <v>7990.09</v>
      </c>
      <c r="AS183" s="61">
        <f t="shared" si="22"/>
        <v>1</v>
      </c>
      <c r="AT183" s="185">
        <f t="shared" si="21"/>
        <v>27</v>
      </c>
      <c r="AU183" s="68"/>
      <c r="AV183" s="68"/>
      <c r="AW183" s="68"/>
      <c r="AX183" s="68"/>
      <c r="AY183" s="68"/>
      <c r="AZ183" s="68"/>
      <c r="BE183" s="55"/>
      <c r="BF183" s="55"/>
      <c r="BG183" s="55"/>
      <c r="BH183" s="55"/>
      <c r="BI183" s="55"/>
      <c r="BJ183" s="55"/>
    </row>
    <row r="184" spans="38:62" x14ac:dyDescent="0.25">
      <c r="AL184" s="222"/>
      <c r="AM184" s="392">
        <v>42184</v>
      </c>
      <c r="AN184" s="348">
        <v>3635.91</v>
      </c>
      <c r="AO184" s="146">
        <v>711.39549999999997</v>
      </c>
      <c r="AP184" s="147">
        <v>84</v>
      </c>
      <c r="AQ184" s="59">
        <v>42184</v>
      </c>
      <c r="AR184" s="180">
        <v>3635.91</v>
      </c>
      <c r="AS184" s="61">
        <f t="shared" si="22"/>
        <v>1</v>
      </c>
      <c r="AT184" s="185">
        <f t="shared" si="21"/>
        <v>27</v>
      </c>
      <c r="AU184" s="68"/>
      <c r="AV184" s="68"/>
      <c r="AW184" s="68"/>
      <c r="AX184" s="68"/>
      <c r="AY184" s="68"/>
      <c r="AZ184" s="68"/>
      <c r="BE184" s="55"/>
      <c r="BF184" s="55"/>
      <c r="BG184" s="55"/>
      <c r="BH184" s="55"/>
      <c r="BI184" s="55"/>
      <c r="BJ184" s="55"/>
    </row>
    <row r="185" spans="38:62" ht="15.75" thickBot="1" x14ac:dyDescent="0.3">
      <c r="AL185" s="223"/>
      <c r="AM185" s="393">
        <v>42185</v>
      </c>
      <c r="AN185" s="349">
        <v>20508.900000000001</v>
      </c>
      <c r="AO185" s="149">
        <v>12054.811599999999</v>
      </c>
      <c r="AP185" s="150">
        <v>240</v>
      </c>
      <c r="AQ185" s="191">
        <v>42185</v>
      </c>
      <c r="AR185" s="177">
        <v>20508.900000000001</v>
      </c>
      <c r="AS185" s="192">
        <f t="shared" si="22"/>
        <v>1</v>
      </c>
      <c r="AT185" s="193">
        <f t="shared" si="21"/>
        <v>27</v>
      </c>
      <c r="AU185" s="68"/>
      <c r="AV185" s="68"/>
      <c r="AW185" s="68"/>
      <c r="AX185" s="68"/>
      <c r="AY185" s="68"/>
      <c r="AZ185" s="68"/>
      <c r="BE185" s="55"/>
      <c r="BF185" s="55"/>
      <c r="BG185" s="55"/>
      <c r="BH185" s="55"/>
      <c r="BI185" s="55"/>
      <c r="BJ185" s="55"/>
    </row>
    <row r="186" spans="38:62" x14ac:dyDescent="0.25">
      <c r="BE186" s="55"/>
      <c r="BF186" s="55"/>
      <c r="BG186" s="55"/>
      <c r="BH186" s="55"/>
      <c r="BI186" s="55"/>
      <c r="BJ186" s="55"/>
    </row>
    <row r="187" spans="38:62" x14ac:dyDescent="0.25">
      <c r="BE187" s="55"/>
      <c r="BF187" s="55"/>
      <c r="BG187" s="55"/>
      <c r="BH187" s="55"/>
      <c r="BI187" s="55"/>
      <c r="BJ187" s="55"/>
    </row>
    <row r="188" spans="38:62" x14ac:dyDescent="0.25">
      <c r="BE188" s="55"/>
      <c r="BF188" s="55"/>
      <c r="BG188" s="55"/>
      <c r="BH188" s="55"/>
      <c r="BI188" s="55"/>
      <c r="BJ188" s="55"/>
    </row>
    <row r="189" spans="38:62" x14ac:dyDescent="0.25">
      <c r="BE189" s="55"/>
      <c r="BF189" s="55"/>
      <c r="BG189" s="55"/>
      <c r="BH189" s="55"/>
      <c r="BI189" s="55"/>
      <c r="BJ189" s="55"/>
    </row>
    <row r="190" spans="38:62" x14ac:dyDescent="0.25">
      <c r="BE190" s="55"/>
      <c r="BF190" s="55"/>
      <c r="BG190" s="55"/>
      <c r="BH190" s="55"/>
      <c r="BI190" s="55"/>
      <c r="BJ190" s="55"/>
    </row>
    <row r="191" spans="38:62" x14ac:dyDescent="0.25">
      <c r="BE191" s="55"/>
      <c r="BF191" s="55"/>
      <c r="BG191" s="55"/>
      <c r="BH191" s="55"/>
      <c r="BI191" s="55"/>
      <c r="BJ191" s="55"/>
    </row>
    <row r="192" spans="38:62" x14ac:dyDescent="0.25">
      <c r="BE192" s="55"/>
      <c r="BF192" s="55"/>
      <c r="BG192" s="55"/>
      <c r="BH192" s="55"/>
      <c r="BI192" s="55"/>
      <c r="BJ192" s="55"/>
    </row>
    <row r="193" spans="57:62" x14ac:dyDescent="0.25">
      <c r="BE193" s="55"/>
      <c r="BF193" s="55"/>
      <c r="BG193" s="55"/>
      <c r="BH193" s="55"/>
      <c r="BI193" s="55"/>
      <c r="BJ193" s="55"/>
    </row>
    <row r="194" spans="57:62" x14ac:dyDescent="0.25">
      <c r="BE194" s="55"/>
      <c r="BF194" s="55"/>
      <c r="BG194" s="55"/>
      <c r="BH194" s="55"/>
      <c r="BI194" s="55"/>
      <c r="BJ194" s="55"/>
    </row>
    <row r="195" spans="57:62" x14ac:dyDescent="0.25">
      <c r="BE195" s="55"/>
      <c r="BF195" s="55"/>
      <c r="BG195" s="55"/>
      <c r="BH195" s="55"/>
      <c r="BI195" s="55"/>
      <c r="BJ195" s="55"/>
    </row>
    <row r="196" spans="57:62" x14ac:dyDescent="0.25">
      <c r="BE196" s="55"/>
      <c r="BF196" s="55"/>
      <c r="BG196" s="55"/>
      <c r="BH196" s="55"/>
      <c r="BI196" s="55"/>
      <c r="BJ196" s="55"/>
    </row>
    <row r="197" spans="57:62" x14ac:dyDescent="0.25">
      <c r="BE197" s="55"/>
      <c r="BF197" s="55"/>
      <c r="BG197" s="55"/>
      <c r="BH197" s="55"/>
      <c r="BI197" s="55"/>
      <c r="BJ197" s="55"/>
    </row>
    <row r="198" spans="57:62" x14ac:dyDescent="0.25">
      <c r="BE198" s="55"/>
      <c r="BF198" s="55"/>
      <c r="BG198" s="55"/>
      <c r="BH198" s="55"/>
      <c r="BI198" s="55"/>
      <c r="BJ198" s="55"/>
    </row>
    <row r="199" spans="57:62" x14ac:dyDescent="0.25">
      <c r="BE199" s="55"/>
      <c r="BF199" s="55"/>
      <c r="BG199" s="55"/>
      <c r="BH199" s="55"/>
      <c r="BI199" s="55"/>
      <c r="BJ199" s="55"/>
    </row>
    <row r="200" spans="57:62" x14ac:dyDescent="0.25">
      <c r="BE200" s="55"/>
      <c r="BF200" s="55"/>
      <c r="BG200" s="55"/>
      <c r="BH200" s="55"/>
      <c r="BI200" s="55"/>
      <c r="BJ200" s="55"/>
    </row>
    <row r="201" spans="57:62" x14ac:dyDescent="0.25">
      <c r="BE201" s="55"/>
      <c r="BF201" s="55"/>
      <c r="BG201" s="55"/>
      <c r="BH201" s="55"/>
      <c r="BI201" s="55"/>
      <c r="BJ201" s="55"/>
    </row>
    <row r="202" spans="57:62" x14ac:dyDescent="0.25">
      <c r="BE202" s="55"/>
      <c r="BF202" s="55"/>
      <c r="BG202" s="55"/>
      <c r="BH202" s="55"/>
      <c r="BI202" s="55"/>
      <c r="BJ202" s="55"/>
    </row>
    <row r="203" spans="57:62" x14ac:dyDescent="0.25">
      <c r="BE203" s="55"/>
      <c r="BF203" s="55"/>
      <c r="BG203" s="55"/>
      <c r="BH203" s="55"/>
      <c r="BI203" s="55"/>
      <c r="BJ203" s="55"/>
    </row>
    <row r="204" spans="57:62" x14ac:dyDescent="0.25">
      <c r="BE204" s="55"/>
      <c r="BF204" s="55"/>
      <c r="BG204" s="55"/>
      <c r="BH204" s="55"/>
      <c r="BI204" s="55"/>
      <c r="BJ204" s="55"/>
    </row>
    <row r="205" spans="57:62" x14ac:dyDescent="0.25">
      <c r="BE205" s="55"/>
      <c r="BF205" s="55"/>
      <c r="BG205" s="55"/>
      <c r="BH205" s="55"/>
      <c r="BI205" s="55"/>
      <c r="BJ205" s="55"/>
    </row>
    <row r="206" spans="57:62" x14ac:dyDescent="0.25">
      <c r="BE206" s="55"/>
      <c r="BF206" s="55"/>
      <c r="BG206" s="55"/>
      <c r="BH206" s="55"/>
      <c r="BI206" s="55"/>
      <c r="BJ206" s="55"/>
    </row>
    <row r="207" spans="57:62" x14ac:dyDescent="0.25">
      <c r="BE207" s="55"/>
      <c r="BF207" s="55"/>
      <c r="BG207" s="55"/>
      <c r="BH207" s="55"/>
      <c r="BI207" s="55"/>
      <c r="BJ207" s="55"/>
    </row>
    <row r="208" spans="57:62" x14ac:dyDescent="0.25">
      <c r="BE208" s="55"/>
      <c r="BF208" s="55"/>
      <c r="BG208" s="55"/>
      <c r="BH208" s="55"/>
      <c r="BI208" s="55"/>
      <c r="BJ208" s="55"/>
    </row>
    <row r="209" spans="57:62" x14ac:dyDescent="0.25">
      <c r="BE209" s="55"/>
      <c r="BF209" s="55"/>
      <c r="BG209" s="55"/>
      <c r="BH209" s="55"/>
      <c r="BI209" s="55"/>
      <c r="BJ209" s="55"/>
    </row>
    <row r="210" spans="57:62" x14ac:dyDescent="0.25">
      <c r="BE210" s="55"/>
      <c r="BF210" s="55"/>
      <c r="BG210" s="55"/>
      <c r="BH210" s="55"/>
      <c r="BI210" s="55"/>
      <c r="BJ210" s="55"/>
    </row>
    <row r="211" spans="57:62" x14ac:dyDescent="0.25">
      <c r="BE211" s="55"/>
      <c r="BF211" s="55"/>
      <c r="BG211" s="55"/>
      <c r="BH211" s="55"/>
      <c r="BI211" s="55"/>
      <c r="BJ211" s="55"/>
    </row>
    <row r="212" spans="57:62" x14ac:dyDescent="0.25">
      <c r="BE212" s="55"/>
      <c r="BF212" s="55"/>
      <c r="BG212" s="55"/>
      <c r="BH212" s="55"/>
      <c r="BI212" s="55"/>
      <c r="BJ212" s="55"/>
    </row>
    <row r="213" spans="57:62" x14ac:dyDescent="0.25">
      <c r="BE213" s="55"/>
      <c r="BF213" s="55"/>
      <c r="BG213" s="55"/>
      <c r="BH213" s="55"/>
      <c r="BI213" s="55"/>
      <c r="BJ213" s="55"/>
    </row>
    <row r="214" spans="57:62" x14ac:dyDescent="0.25">
      <c r="BE214" s="55"/>
      <c r="BF214" s="55"/>
      <c r="BG214" s="55"/>
      <c r="BH214" s="55"/>
      <c r="BI214" s="55"/>
      <c r="BJ214" s="55"/>
    </row>
    <row r="215" spans="57:62" x14ac:dyDescent="0.25">
      <c r="BE215" s="55"/>
      <c r="BF215" s="55"/>
      <c r="BG215" s="55"/>
      <c r="BH215" s="55"/>
      <c r="BI215" s="55"/>
      <c r="BJ215" s="55"/>
    </row>
    <row r="216" spans="57:62" x14ac:dyDescent="0.25">
      <c r="BE216" s="55"/>
      <c r="BF216" s="55"/>
      <c r="BG216" s="55"/>
      <c r="BH216" s="55"/>
      <c r="BI216" s="55"/>
      <c r="BJ216" s="55"/>
    </row>
    <row r="217" spans="57:62" x14ac:dyDescent="0.25">
      <c r="BE217" s="55"/>
      <c r="BF217" s="55"/>
      <c r="BG217" s="55"/>
      <c r="BH217" s="55"/>
      <c r="BI217" s="55"/>
      <c r="BJ217" s="55"/>
    </row>
    <row r="218" spans="57:62" x14ac:dyDescent="0.25">
      <c r="BE218" s="55"/>
      <c r="BF218" s="55"/>
      <c r="BG218" s="55"/>
      <c r="BH218" s="55"/>
      <c r="BI218" s="55"/>
      <c r="BJ218" s="55"/>
    </row>
    <row r="219" spans="57:62" x14ac:dyDescent="0.25">
      <c r="BE219" s="55"/>
      <c r="BF219" s="55"/>
      <c r="BG219" s="55"/>
      <c r="BH219" s="55"/>
      <c r="BI219" s="55"/>
      <c r="BJ219" s="55"/>
    </row>
    <row r="220" spans="57:62" x14ac:dyDescent="0.25">
      <c r="BE220" s="55"/>
      <c r="BF220" s="55"/>
      <c r="BG220" s="55"/>
      <c r="BH220" s="55"/>
      <c r="BI220" s="55"/>
      <c r="BJ220" s="55"/>
    </row>
    <row r="221" spans="57:62" x14ac:dyDescent="0.25">
      <c r="BE221" s="55"/>
      <c r="BF221" s="55"/>
      <c r="BG221" s="55"/>
      <c r="BH221" s="55"/>
      <c r="BI221" s="55"/>
      <c r="BJ221" s="55"/>
    </row>
    <row r="222" spans="57:62" x14ac:dyDescent="0.25">
      <c r="BE222" s="55"/>
      <c r="BF222" s="55"/>
      <c r="BG222" s="55"/>
      <c r="BH222" s="55"/>
      <c r="BI222" s="55"/>
      <c r="BJ222" s="55"/>
    </row>
    <row r="223" spans="57:62" x14ac:dyDescent="0.25">
      <c r="BE223" s="55"/>
      <c r="BF223" s="55"/>
      <c r="BG223" s="55"/>
      <c r="BH223" s="55"/>
      <c r="BI223" s="55"/>
      <c r="BJ223" s="55"/>
    </row>
    <row r="224" spans="57:62" x14ac:dyDescent="0.25">
      <c r="BE224" s="55"/>
      <c r="BF224" s="55"/>
      <c r="BG224" s="55"/>
      <c r="BH224" s="55"/>
      <c r="BI224" s="55"/>
      <c r="BJ224" s="55"/>
    </row>
    <row r="225" spans="57:62" x14ac:dyDescent="0.25">
      <c r="BE225" s="55"/>
      <c r="BF225" s="55"/>
      <c r="BG225" s="55"/>
      <c r="BH225" s="55"/>
      <c r="BI225" s="55"/>
      <c r="BJ225" s="55"/>
    </row>
    <row r="226" spans="57:62" x14ac:dyDescent="0.25">
      <c r="BE226" s="55"/>
      <c r="BF226" s="55"/>
      <c r="BG226" s="55"/>
      <c r="BH226" s="55"/>
      <c r="BI226" s="55"/>
      <c r="BJ226" s="55"/>
    </row>
    <row r="227" spans="57:62" x14ac:dyDescent="0.25">
      <c r="BE227" s="55"/>
      <c r="BF227" s="55"/>
      <c r="BG227" s="55"/>
      <c r="BH227" s="55"/>
      <c r="BI227" s="55"/>
      <c r="BJ227" s="55"/>
    </row>
    <row r="228" spans="57:62" x14ac:dyDescent="0.25">
      <c r="BE228" s="55"/>
      <c r="BF228" s="55"/>
      <c r="BG228" s="55"/>
      <c r="BH228" s="55"/>
      <c r="BI228" s="55"/>
      <c r="BJ228" s="55"/>
    </row>
    <row r="229" spans="57:62" x14ac:dyDescent="0.25">
      <c r="BE229" s="55"/>
      <c r="BF229" s="55"/>
      <c r="BG229" s="55"/>
      <c r="BH229" s="55"/>
      <c r="BI229" s="55"/>
      <c r="BJ229" s="55"/>
    </row>
    <row r="230" spans="57:62" x14ac:dyDescent="0.25">
      <c r="BE230" s="55"/>
      <c r="BF230" s="55"/>
      <c r="BG230" s="55"/>
      <c r="BH230" s="55"/>
      <c r="BI230" s="55"/>
      <c r="BJ230" s="55"/>
    </row>
    <row r="231" spans="57:62" x14ac:dyDescent="0.25">
      <c r="BE231" s="55"/>
      <c r="BF231" s="55"/>
      <c r="BG231" s="55"/>
      <c r="BH231" s="55"/>
      <c r="BI231" s="55"/>
      <c r="BJ231" s="55"/>
    </row>
    <row r="232" spans="57:62" x14ac:dyDescent="0.25">
      <c r="BE232" s="55"/>
      <c r="BF232" s="55"/>
      <c r="BG232" s="55"/>
      <c r="BH232" s="55"/>
      <c r="BI232" s="55"/>
      <c r="BJ232" s="55"/>
    </row>
    <row r="233" spans="57:62" x14ac:dyDescent="0.25">
      <c r="BE233" s="55"/>
      <c r="BF233" s="55"/>
      <c r="BG233" s="55"/>
      <c r="BH233" s="55"/>
      <c r="BI233" s="55"/>
      <c r="BJ233" s="55"/>
    </row>
    <row r="234" spans="57:62" x14ac:dyDescent="0.25">
      <c r="BE234" s="55"/>
      <c r="BF234" s="55"/>
      <c r="BG234" s="55"/>
      <c r="BH234" s="55"/>
      <c r="BI234" s="55"/>
      <c r="BJ234" s="55"/>
    </row>
    <row r="235" spans="57:62" x14ac:dyDescent="0.25">
      <c r="BE235" s="55"/>
      <c r="BF235" s="55"/>
      <c r="BG235" s="55"/>
      <c r="BH235" s="55"/>
      <c r="BI235" s="55"/>
      <c r="BJ235" s="55"/>
    </row>
    <row r="236" spans="57:62" x14ac:dyDescent="0.25">
      <c r="BE236" s="55"/>
      <c r="BF236" s="55"/>
      <c r="BG236" s="55"/>
      <c r="BH236" s="55"/>
      <c r="BI236" s="55"/>
      <c r="BJ236" s="55"/>
    </row>
    <row r="237" spans="57:62" x14ac:dyDescent="0.25">
      <c r="BE237" s="55"/>
      <c r="BF237" s="55"/>
      <c r="BG237" s="55"/>
      <c r="BH237" s="55"/>
      <c r="BI237" s="55"/>
      <c r="BJ237" s="55"/>
    </row>
    <row r="238" spans="57:62" x14ac:dyDescent="0.25">
      <c r="BE238" s="55"/>
      <c r="BF238" s="55"/>
      <c r="BG238" s="55"/>
      <c r="BH238" s="55"/>
      <c r="BI238" s="55"/>
      <c r="BJ238" s="55"/>
    </row>
    <row r="239" spans="57:62" x14ac:dyDescent="0.25">
      <c r="BE239" s="55"/>
      <c r="BF239" s="55"/>
      <c r="BG239" s="55"/>
      <c r="BH239" s="55"/>
      <c r="BI239" s="55"/>
      <c r="BJ239" s="55"/>
    </row>
    <row r="240" spans="57:62" x14ac:dyDescent="0.25">
      <c r="BE240" s="55"/>
      <c r="BF240" s="55"/>
      <c r="BG240" s="55"/>
      <c r="BH240" s="55"/>
      <c r="BI240" s="55"/>
      <c r="BJ240" s="55"/>
    </row>
    <row r="241" spans="57:62" x14ac:dyDescent="0.25">
      <c r="BE241" s="55"/>
      <c r="BF241" s="55"/>
      <c r="BG241" s="55"/>
      <c r="BH241" s="55"/>
      <c r="BI241" s="55"/>
      <c r="BJ241" s="55"/>
    </row>
    <row r="242" spans="57:62" x14ac:dyDescent="0.25">
      <c r="BE242" s="55"/>
      <c r="BF242" s="55"/>
      <c r="BG242" s="55"/>
      <c r="BH242" s="55"/>
      <c r="BI242" s="55"/>
      <c r="BJ242" s="55"/>
    </row>
    <row r="243" spans="57:62" x14ac:dyDescent="0.25">
      <c r="BE243" s="55"/>
      <c r="BF243" s="55"/>
      <c r="BG243" s="55"/>
      <c r="BH243" s="55"/>
      <c r="BI243" s="55"/>
      <c r="BJ243" s="55"/>
    </row>
    <row r="244" spans="57:62" x14ac:dyDescent="0.25">
      <c r="BE244" s="55"/>
      <c r="BF244" s="55"/>
      <c r="BG244" s="55"/>
      <c r="BH244" s="55"/>
      <c r="BI244" s="55"/>
      <c r="BJ244" s="55"/>
    </row>
    <row r="245" spans="57:62" x14ac:dyDescent="0.25">
      <c r="BE245" s="55"/>
      <c r="BF245" s="55"/>
      <c r="BG245" s="55"/>
      <c r="BH245" s="55"/>
      <c r="BI245" s="55"/>
      <c r="BJ245" s="55"/>
    </row>
    <row r="246" spans="57:62" x14ac:dyDescent="0.25">
      <c r="BE246" s="55"/>
      <c r="BF246" s="55"/>
      <c r="BG246" s="55"/>
      <c r="BH246" s="55"/>
      <c r="BI246" s="55"/>
      <c r="BJ246" s="55"/>
    </row>
    <row r="247" spans="57:62" x14ac:dyDescent="0.25">
      <c r="BE247" s="55"/>
      <c r="BF247" s="55"/>
      <c r="BG247" s="55"/>
      <c r="BH247" s="55"/>
      <c r="BI247" s="55"/>
      <c r="BJ247" s="55"/>
    </row>
    <row r="248" spans="57:62" x14ac:dyDescent="0.25">
      <c r="BE248" s="55"/>
      <c r="BF248" s="55"/>
      <c r="BG248" s="55"/>
      <c r="BH248" s="55"/>
      <c r="BI248" s="55"/>
      <c r="BJ248" s="55"/>
    </row>
    <row r="249" spans="57:62" x14ac:dyDescent="0.25">
      <c r="BE249" s="55"/>
      <c r="BF249" s="55"/>
      <c r="BG249" s="55"/>
      <c r="BH249" s="55"/>
      <c r="BI249" s="55"/>
      <c r="BJ249" s="55"/>
    </row>
    <row r="250" spans="57:62" x14ac:dyDescent="0.25">
      <c r="BE250" s="55"/>
      <c r="BF250" s="55"/>
      <c r="BG250" s="55"/>
      <c r="BH250" s="55"/>
      <c r="BI250" s="55"/>
      <c r="BJ250" s="55"/>
    </row>
    <row r="251" spans="57:62" x14ac:dyDescent="0.25">
      <c r="BE251" s="55"/>
      <c r="BF251" s="55"/>
      <c r="BG251" s="55"/>
      <c r="BH251" s="55"/>
      <c r="BI251" s="55"/>
      <c r="BJ251" s="55"/>
    </row>
    <row r="252" spans="57:62" x14ac:dyDescent="0.25">
      <c r="BE252" s="55"/>
      <c r="BF252" s="55"/>
      <c r="BG252" s="55"/>
      <c r="BH252" s="55"/>
      <c r="BI252" s="55"/>
      <c r="BJ252" s="55"/>
    </row>
    <row r="253" spans="57:62" x14ac:dyDescent="0.25">
      <c r="BE253" s="55"/>
      <c r="BF253" s="55"/>
      <c r="BG253" s="55"/>
      <c r="BH253" s="55"/>
      <c r="BI253" s="55"/>
      <c r="BJ253" s="55"/>
    </row>
    <row r="254" spans="57:62" x14ac:dyDescent="0.25">
      <c r="BE254" s="55"/>
      <c r="BF254" s="55"/>
      <c r="BG254" s="55"/>
      <c r="BH254" s="55"/>
      <c r="BI254" s="55"/>
      <c r="BJ254" s="55"/>
    </row>
    <row r="255" spans="57:62" x14ac:dyDescent="0.25">
      <c r="BE255" s="55"/>
      <c r="BF255" s="55"/>
      <c r="BG255" s="55"/>
      <c r="BH255" s="55"/>
      <c r="BI255" s="55"/>
      <c r="BJ255" s="55"/>
    </row>
    <row r="256" spans="57:62" x14ac:dyDescent="0.25">
      <c r="BE256" s="55"/>
      <c r="BF256" s="55"/>
      <c r="BG256" s="55"/>
      <c r="BH256" s="55"/>
      <c r="BI256" s="55"/>
      <c r="BJ256" s="55"/>
    </row>
    <row r="257" spans="57:62" x14ac:dyDescent="0.25">
      <c r="BE257" s="55"/>
      <c r="BF257" s="55"/>
      <c r="BG257" s="55"/>
      <c r="BH257" s="55"/>
      <c r="BI257" s="55"/>
      <c r="BJ257" s="55"/>
    </row>
    <row r="258" spans="57:62" x14ac:dyDescent="0.25">
      <c r="BE258" s="55"/>
      <c r="BF258" s="55"/>
      <c r="BG258" s="55"/>
      <c r="BH258" s="55"/>
      <c r="BI258" s="55"/>
      <c r="BJ258" s="55"/>
    </row>
    <row r="259" spans="57:62" x14ac:dyDescent="0.25">
      <c r="BE259" s="55"/>
      <c r="BF259" s="55"/>
      <c r="BG259" s="55"/>
      <c r="BH259" s="55"/>
      <c r="BI259" s="55"/>
      <c r="BJ259" s="55"/>
    </row>
    <row r="260" spans="57:62" x14ac:dyDescent="0.25">
      <c r="BE260" s="55"/>
      <c r="BF260" s="55"/>
      <c r="BG260" s="55"/>
      <c r="BH260" s="55"/>
      <c r="BI260" s="55"/>
      <c r="BJ260" s="55"/>
    </row>
    <row r="261" spans="57:62" x14ac:dyDescent="0.25">
      <c r="BE261" s="55"/>
      <c r="BF261" s="55"/>
      <c r="BG261" s="55"/>
      <c r="BH261" s="55"/>
      <c r="BI261" s="55"/>
      <c r="BJ261" s="55"/>
    </row>
    <row r="262" spans="57:62" x14ac:dyDescent="0.25">
      <c r="BE262" s="55"/>
      <c r="BF262" s="55"/>
      <c r="BG262" s="55"/>
      <c r="BH262" s="55"/>
      <c r="BI262" s="55"/>
      <c r="BJ262" s="55"/>
    </row>
    <row r="263" spans="57:62" x14ac:dyDescent="0.25">
      <c r="BE263" s="55"/>
      <c r="BF263" s="55"/>
      <c r="BG263" s="55"/>
      <c r="BH263" s="55"/>
      <c r="BI263" s="55"/>
      <c r="BJ263" s="55"/>
    </row>
    <row r="264" spans="57:62" x14ac:dyDescent="0.25">
      <c r="BE264" s="55"/>
      <c r="BF264" s="55"/>
      <c r="BG264" s="55"/>
      <c r="BH264" s="55"/>
      <c r="BI264" s="55"/>
      <c r="BJ264" s="55"/>
    </row>
    <row r="265" spans="57:62" x14ac:dyDescent="0.25">
      <c r="BE265" s="55"/>
      <c r="BF265" s="55"/>
      <c r="BG265" s="55"/>
      <c r="BH265" s="55"/>
      <c r="BI265" s="55"/>
      <c r="BJ265" s="55"/>
    </row>
    <row r="266" spans="57:62" x14ac:dyDescent="0.25">
      <c r="BE266" s="55"/>
      <c r="BF266" s="55"/>
      <c r="BG266" s="55"/>
      <c r="BH266" s="55"/>
      <c r="BI266" s="55"/>
      <c r="BJ266" s="55"/>
    </row>
    <row r="267" spans="57:62" x14ac:dyDescent="0.25">
      <c r="BE267" s="55"/>
      <c r="BF267" s="55"/>
      <c r="BG267" s="55"/>
      <c r="BH267" s="55"/>
      <c r="BI267" s="55"/>
      <c r="BJ267" s="55"/>
    </row>
    <row r="268" spans="57:62" x14ac:dyDescent="0.25">
      <c r="BE268" s="55"/>
      <c r="BF268" s="55"/>
      <c r="BG268" s="55"/>
      <c r="BH268" s="55"/>
      <c r="BI268" s="55"/>
      <c r="BJ268" s="55"/>
    </row>
    <row r="269" spans="57:62" x14ac:dyDescent="0.25">
      <c r="BE269" s="55"/>
      <c r="BF269" s="55"/>
      <c r="BG269" s="55"/>
      <c r="BH269" s="55"/>
      <c r="BI269" s="55"/>
      <c r="BJ269" s="55"/>
    </row>
    <row r="270" spans="57:62" x14ac:dyDescent="0.25">
      <c r="BE270" s="55"/>
      <c r="BF270" s="55"/>
      <c r="BG270" s="55"/>
      <c r="BH270" s="55"/>
      <c r="BI270" s="55"/>
      <c r="BJ270" s="55"/>
    </row>
    <row r="271" spans="57:62" x14ac:dyDescent="0.25">
      <c r="BE271" s="55"/>
      <c r="BF271" s="55"/>
      <c r="BG271" s="55"/>
      <c r="BH271" s="55"/>
      <c r="BI271" s="55"/>
      <c r="BJ271" s="55"/>
    </row>
    <row r="272" spans="57:62" x14ac:dyDescent="0.25">
      <c r="BE272" s="55"/>
      <c r="BF272" s="55"/>
      <c r="BG272" s="55"/>
      <c r="BH272" s="55"/>
      <c r="BI272" s="55"/>
      <c r="BJ272" s="55"/>
    </row>
    <row r="273" spans="57:62" x14ac:dyDescent="0.25">
      <c r="BE273" s="55"/>
      <c r="BF273" s="55"/>
      <c r="BG273" s="55"/>
      <c r="BH273" s="55"/>
      <c r="BI273" s="55"/>
      <c r="BJ273" s="55"/>
    </row>
    <row r="274" spans="57:62" x14ac:dyDescent="0.25">
      <c r="BE274" s="55"/>
      <c r="BF274" s="55"/>
      <c r="BG274" s="55"/>
      <c r="BH274" s="55"/>
      <c r="BI274" s="55"/>
      <c r="BJ274" s="55"/>
    </row>
    <row r="275" spans="57:62" x14ac:dyDescent="0.25">
      <c r="BE275" s="55"/>
      <c r="BF275" s="55"/>
      <c r="BG275" s="55"/>
      <c r="BH275" s="55"/>
      <c r="BI275" s="55"/>
      <c r="BJ275" s="55"/>
    </row>
    <row r="276" spans="57:62" x14ac:dyDescent="0.25">
      <c r="BE276" s="55"/>
      <c r="BF276" s="55"/>
      <c r="BG276" s="55"/>
      <c r="BH276" s="55"/>
      <c r="BI276" s="55"/>
      <c r="BJ276" s="55"/>
    </row>
    <row r="277" spans="57:62" x14ac:dyDescent="0.25">
      <c r="BE277" s="55"/>
      <c r="BF277" s="55"/>
      <c r="BG277" s="55"/>
      <c r="BH277" s="55"/>
      <c r="BI277" s="55"/>
      <c r="BJ277" s="55"/>
    </row>
    <row r="278" spans="57:62" x14ac:dyDescent="0.25">
      <c r="BE278" s="55"/>
      <c r="BF278" s="55"/>
      <c r="BG278" s="55"/>
      <c r="BH278" s="55"/>
      <c r="BI278" s="55"/>
      <c r="BJ278" s="55"/>
    </row>
    <row r="279" spans="57:62" x14ac:dyDescent="0.25">
      <c r="BE279" s="55"/>
      <c r="BF279" s="55"/>
      <c r="BG279" s="55"/>
      <c r="BH279" s="55"/>
      <c r="BI279" s="55"/>
      <c r="BJ279" s="55"/>
    </row>
    <row r="280" spans="57:62" x14ac:dyDescent="0.25">
      <c r="BE280" s="55"/>
      <c r="BF280" s="55"/>
      <c r="BG280" s="55"/>
      <c r="BH280" s="55"/>
      <c r="BI280" s="55"/>
      <c r="BJ280" s="55"/>
    </row>
    <row r="281" spans="57:62" x14ac:dyDescent="0.25">
      <c r="BE281" s="55"/>
      <c r="BF281" s="55"/>
      <c r="BG281" s="55"/>
      <c r="BH281" s="55"/>
      <c r="BI281" s="55"/>
      <c r="BJ281" s="55"/>
    </row>
    <row r="282" spans="57:62" x14ac:dyDescent="0.25">
      <c r="BE282" s="55"/>
      <c r="BF282" s="55"/>
      <c r="BG282" s="55"/>
      <c r="BH282" s="55"/>
      <c r="BI282" s="55"/>
      <c r="BJ282" s="55"/>
    </row>
    <row r="283" spans="57:62" x14ac:dyDescent="0.25">
      <c r="BE283" s="55"/>
      <c r="BF283" s="55"/>
      <c r="BG283" s="55"/>
      <c r="BH283" s="55"/>
      <c r="BI283" s="55"/>
      <c r="BJ283" s="55"/>
    </row>
    <row r="284" spans="57:62" x14ac:dyDescent="0.25">
      <c r="BE284" s="55"/>
      <c r="BF284" s="55"/>
      <c r="BG284" s="55"/>
      <c r="BH284" s="55"/>
      <c r="BI284" s="55"/>
      <c r="BJ284" s="55"/>
    </row>
    <row r="285" spans="57:62" x14ac:dyDescent="0.25">
      <c r="BE285" s="55"/>
      <c r="BF285" s="55"/>
      <c r="BG285" s="55"/>
      <c r="BH285" s="55"/>
      <c r="BI285" s="55"/>
      <c r="BJ285" s="55"/>
    </row>
    <row r="286" spans="57:62" x14ac:dyDescent="0.25">
      <c r="BE286" s="55"/>
      <c r="BF286" s="55"/>
      <c r="BG286" s="55"/>
      <c r="BH286" s="55"/>
      <c r="BI286" s="55"/>
      <c r="BJ286" s="55"/>
    </row>
    <row r="287" spans="57:62" x14ac:dyDescent="0.25">
      <c r="BE287" s="55"/>
      <c r="BF287" s="55"/>
      <c r="BG287" s="55"/>
      <c r="BH287" s="55"/>
      <c r="BI287" s="55"/>
      <c r="BJ287" s="55"/>
    </row>
    <row r="288" spans="57:62" x14ac:dyDescent="0.25">
      <c r="BE288" s="55"/>
      <c r="BF288" s="55"/>
      <c r="BG288" s="55"/>
      <c r="BH288" s="55"/>
      <c r="BI288" s="55"/>
      <c r="BJ288" s="55"/>
    </row>
    <row r="289" spans="57:62" x14ac:dyDescent="0.25">
      <c r="BE289" s="55"/>
      <c r="BF289" s="55"/>
      <c r="BG289" s="55"/>
      <c r="BH289" s="55"/>
      <c r="BI289" s="55"/>
      <c r="BJ289" s="55"/>
    </row>
    <row r="290" spans="57:62" x14ac:dyDescent="0.25">
      <c r="BE290" s="55"/>
      <c r="BF290" s="55"/>
      <c r="BG290" s="55"/>
      <c r="BH290" s="55"/>
      <c r="BI290" s="55"/>
      <c r="BJ290" s="55"/>
    </row>
    <row r="291" spans="57:62" x14ac:dyDescent="0.25">
      <c r="BE291" s="55"/>
      <c r="BF291" s="55"/>
      <c r="BG291" s="55"/>
      <c r="BH291" s="55"/>
      <c r="BI291" s="55"/>
      <c r="BJ291" s="55"/>
    </row>
    <row r="292" spans="57:62" x14ac:dyDescent="0.25">
      <c r="BE292" s="55"/>
      <c r="BF292" s="55"/>
      <c r="BG292" s="55"/>
      <c r="BH292" s="55"/>
      <c r="BI292" s="55"/>
      <c r="BJ292" s="55"/>
    </row>
    <row r="293" spans="57:62" x14ac:dyDescent="0.25">
      <c r="BE293" s="55"/>
      <c r="BF293" s="55"/>
      <c r="BG293" s="55"/>
      <c r="BH293" s="55"/>
      <c r="BI293" s="55"/>
      <c r="BJ293" s="55"/>
    </row>
    <row r="294" spans="57:62" x14ac:dyDescent="0.25">
      <c r="BE294" s="55"/>
      <c r="BF294" s="55"/>
      <c r="BG294" s="55"/>
      <c r="BH294" s="55"/>
      <c r="BI294" s="55"/>
      <c r="BJ294" s="55"/>
    </row>
    <row r="295" spans="57:62" x14ac:dyDescent="0.25">
      <c r="BE295" s="55"/>
      <c r="BF295" s="55"/>
      <c r="BG295" s="55"/>
      <c r="BH295" s="55"/>
      <c r="BI295" s="55"/>
      <c r="BJ295" s="55"/>
    </row>
    <row r="296" spans="57:62" x14ac:dyDescent="0.25">
      <c r="BE296" s="55"/>
      <c r="BF296" s="55"/>
      <c r="BG296" s="55"/>
      <c r="BH296" s="55"/>
      <c r="BI296" s="55"/>
      <c r="BJ296" s="55"/>
    </row>
    <row r="297" spans="57:62" x14ac:dyDescent="0.25">
      <c r="BE297" s="55"/>
      <c r="BF297" s="55"/>
      <c r="BG297" s="55"/>
      <c r="BH297" s="55"/>
      <c r="BI297" s="55"/>
      <c r="BJ297" s="55"/>
    </row>
    <row r="298" spans="57:62" x14ac:dyDescent="0.25">
      <c r="BE298" s="55"/>
      <c r="BF298" s="55"/>
      <c r="BG298" s="55"/>
      <c r="BH298" s="55"/>
      <c r="BI298" s="55"/>
      <c r="BJ298" s="55"/>
    </row>
    <row r="299" spans="57:62" x14ac:dyDescent="0.25">
      <c r="BE299" s="55"/>
      <c r="BF299" s="55"/>
      <c r="BG299" s="55"/>
      <c r="BH299" s="55"/>
      <c r="BI299" s="55"/>
      <c r="BJ299" s="55"/>
    </row>
    <row r="300" spans="57:62" x14ac:dyDescent="0.25">
      <c r="BE300" s="55"/>
      <c r="BF300" s="55"/>
      <c r="BG300" s="55"/>
      <c r="BH300" s="55"/>
      <c r="BI300" s="55"/>
      <c r="BJ300" s="55"/>
    </row>
    <row r="301" spans="57:62" x14ac:dyDescent="0.25">
      <c r="BE301" s="55"/>
      <c r="BF301" s="55"/>
      <c r="BG301" s="55"/>
      <c r="BH301" s="55"/>
      <c r="BI301" s="55"/>
      <c r="BJ301" s="55"/>
    </row>
    <row r="302" spans="57:62" x14ac:dyDescent="0.25">
      <c r="BE302" s="55"/>
      <c r="BF302" s="55"/>
      <c r="BG302" s="55"/>
      <c r="BH302" s="55"/>
      <c r="BI302" s="55"/>
      <c r="BJ302" s="55"/>
    </row>
    <row r="303" spans="57:62" x14ac:dyDescent="0.25">
      <c r="BE303" s="55"/>
      <c r="BF303" s="55"/>
      <c r="BG303" s="55"/>
      <c r="BH303" s="55"/>
      <c r="BI303" s="55"/>
      <c r="BJ303" s="55"/>
    </row>
    <row r="304" spans="57:62" x14ac:dyDescent="0.25">
      <c r="BE304" s="55"/>
      <c r="BF304" s="55"/>
      <c r="BG304" s="55"/>
      <c r="BH304" s="55"/>
      <c r="BI304" s="55"/>
      <c r="BJ304" s="55"/>
    </row>
    <row r="305" spans="20:62" x14ac:dyDescent="0.25">
      <c r="BE305" s="55"/>
      <c r="BF305" s="55"/>
      <c r="BG305" s="55"/>
      <c r="BH305" s="55"/>
      <c r="BI305" s="55"/>
      <c r="BJ305" s="55"/>
    </row>
    <row r="306" spans="20:62" x14ac:dyDescent="0.25">
      <c r="BE306" s="55"/>
      <c r="BF306" s="55"/>
      <c r="BG306" s="55"/>
      <c r="BH306" s="55"/>
      <c r="BI306" s="55"/>
      <c r="BJ306" s="55"/>
    </row>
    <row r="307" spans="20:62" x14ac:dyDescent="0.25">
      <c r="BE307" s="55"/>
      <c r="BF307" s="55"/>
      <c r="BG307" s="55"/>
      <c r="BH307" s="55"/>
      <c r="BI307" s="55"/>
      <c r="BJ307" s="55"/>
    </row>
    <row r="308" spans="20:62" x14ac:dyDescent="0.25">
      <c r="BE308" s="55"/>
      <c r="BF308" s="55"/>
      <c r="BG308" s="55"/>
      <c r="BH308" s="55"/>
      <c r="BI308" s="55"/>
      <c r="BJ308" s="55"/>
    </row>
    <row r="309" spans="20:62" x14ac:dyDescent="0.25">
      <c r="BE309" s="55"/>
      <c r="BF309" s="55"/>
      <c r="BG309" s="55"/>
      <c r="BH309" s="55"/>
      <c r="BI309" s="55"/>
      <c r="BJ309" s="55"/>
    </row>
    <row r="310" spans="20:62" x14ac:dyDescent="0.25">
      <c r="BE310" s="55"/>
      <c r="BF310" s="55"/>
      <c r="BG310" s="55"/>
      <c r="BH310" s="55"/>
      <c r="BI310" s="55"/>
      <c r="BJ310" s="55"/>
    </row>
    <row r="311" spans="20:62" x14ac:dyDescent="0.25">
      <c r="BE311" s="55"/>
      <c r="BF311" s="55"/>
      <c r="BG311" s="55"/>
      <c r="BH311" s="55"/>
      <c r="BI311" s="55"/>
      <c r="BJ311" s="55"/>
    </row>
    <row r="312" spans="20:62" x14ac:dyDescent="0.25">
      <c r="BE312" s="55"/>
      <c r="BF312" s="55"/>
      <c r="BG312" s="55"/>
      <c r="BH312" s="55"/>
      <c r="BI312" s="55"/>
      <c r="BJ312" s="55"/>
    </row>
    <row r="313" spans="20:62" x14ac:dyDescent="0.25">
      <c r="BE313" s="55"/>
      <c r="BF313" s="55"/>
      <c r="BG313" s="55"/>
      <c r="BH313" s="55"/>
      <c r="BI313" s="55"/>
      <c r="BJ313" s="55"/>
    </row>
    <row r="314" spans="20:62" x14ac:dyDescent="0.25">
      <c r="BE314" s="55"/>
      <c r="BF314" s="55"/>
      <c r="BG314" s="55"/>
      <c r="BH314" s="55"/>
      <c r="BI314" s="55"/>
      <c r="BJ314" s="55"/>
    </row>
    <row r="315" spans="20:62" x14ac:dyDescent="0.25">
      <c r="T315" s="55"/>
      <c r="U315" s="55"/>
      <c r="V315" s="55"/>
      <c r="AD315" s="55"/>
      <c r="AN315" s="55"/>
      <c r="AO315" s="55"/>
      <c r="AP315" s="55"/>
      <c r="AQ315" s="55"/>
      <c r="AR315" s="55"/>
      <c r="AS315" s="55"/>
      <c r="AT315" s="55"/>
      <c r="AW315" s="55"/>
      <c r="AX315" s="55"/>
      <c r="AY315" s="55"/>
      <c r="BE315" s="55"/>
      <c r="BF315" s="55"/>
      <c r="BG315" s="55"/>
      <c r="BH315" s="55"/>
      <c r="BI315" s="55"/>
      <c r="BJ315" s="55"/>
    </row>
    <row r="316" spans="20:62" x14ac:dyDescent="0.25">
      <c r="T316" s="55"/>
      <c r="U316" s="55"/>
      <c r="V316" s="55"/>
      <c r="AD316" s="55"/>
      <c r="AN316" s="55"/>
      <c r="AO316" s="55"/>
      <c r="AP316" s="55"/>
      <c r="AQ316" s="55"/>
      <c r="AR316" s="55"/>
      <c r="AS316" s="55"/>
      <c r="AT316" s="55"/>
      <c r="AW316" s="55"/>
      <c r="AX316" s="55"/>
      <c r="AY316" s="55"/>
      <c r="BE316" s="55"/>
      <c r="BF316" s="55"/>
      <c r="BG316" s="55"/>
      <c r="BH316" s="55"/>
      <c r="BI316" s="55"/>
      <c r="BJ316" s="55"/>
    </row>
    <row r="317" spans="20:62" x14ac:dyDescent="0.25">
      <c r="T317" s="55"/>
      <c r="U317" s="55"/>
      <c r="V317" s="55"/>
      <c r="AD317" s="55"/>
      <c r="AN317" s="55"/>
      <c r="AO317" s="55"/>
      <c r="AP317" s="55"/>
      <c r="AQ317" s="55"/>
      <c r="AR317" s="55"/>
      <c r="AS317" s="55"/>
      <c r="AT317" s="55"/>
      <c r="AW317" s="55"/>
      <c r="AX317" s="55"/>
      <c r="AY317" s="55"/>
      <c r="BE317" s="55"/>
      <c r="BF317" s="55"/>
      <c r="BG317" s="55"/>
      <c r="BH317" s="55"/>
      <c r="BI317" s="55"/>
      <c r="BJ317" s="55"/>
    </row>
    <row r="318" spans="20:62" x14ac:dyDescent="0.25">
      <c r="T318" s="55"/>
      <c r="U318" s="55"/>
      <c r="V318" s="55"/>
      <c r="AD318" s="55"/>
      <c r="AN318" s="55"/>
      <c r="AO318" s="55"/>
      <c r="AP318" s="55"/>
      <c r="AQ318" s="55"/>
      <c r="AR318" s="55"/>
      <c r="AS318" s="55"/>
      <c r="AT318" s="55"/>
      <c r="AW318" s="55"/>
      <c r="AX318" s="55"/>
      <c r="AY318" s="55"/>
      <c r="BE318" s="55"/>
      <c r="BF318" s="55"/>
      <c r="BG318" s="55"/>
      <c r="BH318" s="55"/>
      <c r="BI318" s="55"/>
      <c r="BJ318" s="55"/>
    </row>
    <row r="319" spans="20:62" x14ac:dyDescent="0.25">
      <c r="T319" s="55"/>
      <c r="BE319" s="55"/>
      <c r="BF319" s="55"/>
      <c r="BG319" s="55"/>
      <c r="BH319" s="55"/>
      <c r="BI319" s="55"/>
      <c r="BJ319" s="55"/>
    </row>
    <row r="320" spans="20:62" x14ac:dyDescent="0.25">
      <c r="T320" s="55"/>
      <c r="BE320" s="55"/>
      <c r="BF320" s="55"/>
      <c r="BG320" s="55"/>
      <c r="BH320" s="55"/>
      <c r="BI320" s="55"/>
      <c r="BJ320" s="55"/>
    </row>
    <row r="321" spans="57:62" x14ac:dyDescent="0.25">
      <c r="BE321" s="55"/>
      <c r="BF321" s="55"/>
      <c r="BG321" s="55"/>
      <c r="BH321" s="55"/>
      <c r="BI321" s="55"/>
      <c r="BJ321" s="55"/>
    </row>
    <row r="322" spans="57:62" x14ac:dyDescent="0.25">
      <c r="BE322" s="55"/>
      <c r="BF322" s="55"/>
      <c r="BG322" s="55"/>
      <c r="BH322" s="55"/>
      <c r="BI322" s="55"/>
      <c r="BJ322" s="55"/>
    </row>
    <row r="323" spans="57:62" x14ac:dyDescent="0.25">
      <c r="BE323" s="55"/>
      <c r="BF323" s="55"/>
      <c r="BG323" s="55"/>
      <c r="BH323" s="55"/>
      <c r="BI323" s="55"/>
      <c r="BJ323" s="55"/>
    </row>
    <row r="324" spans="57:62" x14ac:dyDescent="0.25">
      <c r="BE324" s="55"/>
      <c r="BF324" s="55"/>
      <c r="BG324" s="55"/>
      <c r="BH324" s="55"/>
      <c r="BI324" s="55"/>
      <c r="BJ324" s="55"/>
    </row>
    <row r="325" spans="57:62" x14ac:dyDescent="0.25">
      <c r="BE325" s="55"/>
      <c r="BF325" s="55"/>
      <c r="BG325" s="55"/>
      <c r="BH325" s="55"/>
      <c r="BI325" s="55"/>
      <c r="BJ325" s="55"/>
    </row>
    <row r="326" spans="57:62" x14ac:dyDescent="0.25">
      <c r="BE326" s="55"/>
      <c r="BF326" s="55"/>
      <c r="BG326" s="55"/>
    </row>
    <row r="327" spans="57:62" x14ac:dyDescent="0.25">
      <c r="BE327" s="55"/>
      <c r="BF327" s="55"/>
      <c r="BG327" s="55"/>
    </row>
    <row r="328" spans="57:62" x14ac:dyDescent="0.25">
      <c r="BE328" s="55"/>
      <c r="BF328" s="55"/>
      <c r="BG328" s="55"/>
    </row>
    <row r="329" spans="57:62" x14ac:dyDescent="0.25">
      <c r="BE329" s="55"/>
      <c r="BF329" s="55"/>
      <c r="BG329" s="55"/>
    </row>
    <row r="330" spans="57:62" x14ac:dyDescent="0.25">
      <c r="BE330" s="55"/>
      <c r="BF330" s="55"/>
      <c r="BG330" s="55"/>
    </row>
    <row r="331" spans="57:62" x14ac:dyDescent="0.25">
      <c r="BE331" s="55"/>
      <c r="BF331" s="55"/>
      <c r="BG331" s="55"/>
    </row>
    <row r="332" spans="57:62" x14ac:dyDescent="0.25">
      <c r="BE332" s="55"/>
      <c r="BF332" s="55"/>
      <c r="BG332" s="55"/>
    </row>
    <row r="333" spans="57:62" x14ac:dyDescent="0.25">
      <c r="BE333" s="55"/>
      <c r="BF333" s="55"/>
      <c r="BG333" s="55"/>
    </row>
    <row r="334" spans="57:62" x14ac:dyDescent="0.25">
      <c r="BE334" s="55"/>
      <c r="BF334" s="55"/>
      <c r="BG334" s="55"/>
    </row>
    <row r="335" spans="57:62" x14ac:dyDescent="0.25">
      <c r="BE335" s="55"/>
      <c r="BF335" s="55"/>
      <c r="BG335" s="55"/>
    </row>
    <row r="336" spans="57:62" x14ac:dyDescent="0.25">
      <c r="BE336" s="55"/>
      <c r="BF336" s="55"/>
      <c r="BG336" s="55"/>
    </row>
    <row r="337" spans="57:59" x14ac:dyDescent="0.25">
      <c r="BE337" s="55"/>
      <c r="BF337" s="55"/>
      <c r="BG337" s="55"/>
    </row>
    <row r="338" spans="57:59" x14ac:dyDescent="0.25">
      <c r="BE338" s="55"/>
      <c r="BF338" s="55"/>
      <c r="BG338" s="55"/>
    </row>
    <row r="339" spans="57:59" x14ac:dyDescent="0.25">
      <c r="BE339" s="55"/>
      <c r="BF339" s="55"/>
      <c r="BG339" s="55"/>
    </row>
    <row r="340" spans="57:59" x14ac:dyDescent="0.25">
      <c r="BE340" s="55"/>
      <c r="BF340" s="55"/>
      <c r="BG340" s="55"/>
    </row>
    <row r="341" spans="57:59" x14ac:dyDescent="0.25">
      <c r="BE341" s="55"/>
      <c r="BF341" s="55"/>
      <c r="BG341" s="55"/>
    </row>
    <row r="342" spans="57:59" x14ac:dyDescent="0.25">
      <c r="BE342" s="55"/>
      <c r="BF342" s="55"/>
      <c r="BG342" s="55"/>
    </row>
    <row r="343" spans="57:59" x14ac:dyDescent="0.25">
      <c r="BE343" s="55"/>
      <c r="BF343" s="55"/>
      <c r="BG343" s="55"/>
    </row>
    <row r="344" spans="57:59" x14ac:dyDescent="0.25">
      <c r="BE344" s="55"/>
      <c r="BF344" s="55"/>
      <c r="BG344" s="55"/>
    </row>
    <row r="345" spans="57:59" x14ac:dyDescent="0.25">
      <c r="BE345" s="55"/>
      <c r="BF345" s="55"/>
      <c r="BG345" s="55"/>
    </row>
    <row r="346" spans="57:59" x14ac:dyDescent="0.25">
      <c r="BE346" s="55"/>
      <c r="BF346" s="55"/>
      <c r="BG346" s="55"/>
    </row>
    <row r="347" spans="57:59" x14ac:dyDescent="0.25">
      <c r="BE347" s="55"/>
      <c r="BF347" s="55"/>
      <c r="BG347" s="55"/>
    </row>
    <row r="348" spans="57:59" x14ac:dyDescent="0.25">
      <c r="BE348" s="55"/>
      <c r="BF348" s="55"/>
      <c r="BG348" s="55"/>
    </row>
    <row r="349" spans="57:59" x14ac:dyDescent="0.25">
      <c r="BE349" s="55"/>
      <c r="BF349" s="55"/>
      <c r="BG349" s="55"/>
    </row>
    <row r="350" spans="57:59" x14ac:dyDescent="0.25">
      <c r="BE350" s="55"/>
      <c r="BF350" s="55"/>
      <c r="BG350" s="55"/>
    </row>
    <row r="351" spans="57:59" x14ac:dyDescent="0.25">
      <c r="BE351" s="55"/>
      <c r="BF351" s="55"/>
      <c r="BG351" s="55"/>
    </row>
    <row r="352" spans="57:59" x14ac:dyDescent="0.25">
      <c r="BE352" s="55"/>
      <c r="BF352" s="55"/>
      <c r="BG352" s="55"/>
    </row>
    <row r="353" spans="57:59" x14ac:dyDescent="0.25">
      <c r="BE353" s="55"/>
      <c r="BF353" s="55"/>
      <c r="BG353" s="55"/>
    </row>
    <row r="354" spans="57:59" x14ac:dyDescent="0.25">
      <c r="BE354" s="55"/>
      <c r="BF354" s="55"/>
      <c r="BG354" s="55"/>
    </row>
    <row r="355" spans="57:59" x14ac:dyDescent="0.25">
      <c r="BE355" s="55"/>
      <c r="BF355" s="55"/>
      <c r="BG355" s="55"/>
    </row>
    <row r="356" spans="57:59" x14ac:dyDescent="0.25">
      <c r="BE356" s="55"/>
      <c r="BF356" s="55"/>
      <c r="BG356" s="55"/>
    </row>
    <row r="357" spans="57:59" x14ac:dyDescent="0.25">
      <c r="BE357" s="55"/>
      <c r="BF357" s="55"/>
      <c r="BG357" s="55"/>
    </row>
    <row r="358" spans="57:59" x14ac:dyDescent="0.25">
      <c r="BE358" s="55"/>
      <c r="BF358" s="55"/>
      <c r="BG358" s="55"/>
    </row>
    <row r="359" spans="57:59" x14ac:dyDescent="0.25">
      <c r="BE359" s="55"/>
      <c r="BF359" s="55"/>
      <c r="BG359" s="55"/>
    </row>
    <row r="360" spans="57:59" x14ac:dyDescent="0.25">
      <c r="BE360" s="55"/>
      <c r="BF360" s="55"/>
      <c r="BG360" s="55"/>
    </row>
    <row r="361" spans="57:59" x14ac:dyDescent="0.25">
      <c r="BE361" s="55"/>
      <c r="BF361" s="55"/>
      <c r="BG361" s="55"/>
    </row>
    <row r="362" spans="57:59" x14ac:dyDescent="0.25">
      <c r="BE362" s="55"/>
      <c r="BF362" s="55"/>
      <c r="BG362" s="55"/>
    </row>
    <row r="363" spans="57:59" x14ac:dyDescent="0.25">
      <c r="BE363" s="55"/>
      <c r="BF363" s="55"/>
      <c r="BG363" s="55"/>
    </row>
    <row r="364" spans="57:59" x14ac:dyDescent="0.25">
      <c r="BE364" s="55"/>
      <c r="BF364" s="55"/>
      <c r="BG364" s="55"/>
    </row>
    <row r="365" spans="57:59" x14ac:dyDescent="0.25">
      <c r="BE365" s="55"/>
      <c r="BF365" s="55"/>
      <c r="BG365" s="55"/>
    </row>
    <row r="366" spans="57:59" x14ac:dyDescent="0.25">
      <c r="BE366" s="55"/>
      <c r="BF366" s="55"/>
      <c r="BG366" s="55"/>
    </row>
    <row r="367" spans="57:59" x14ac:dyDescent="0.25">
      <c r="BE367" s="55"/>
      <c r="BF367" s="55"/>
      <c r="BG367" s="55"/>
    </row>
    <row r="368" spans="57:59" x14ac:dyDescent="0.25">
      <c r="BE368" s="55"/>
      <c r="BF368" s="55"/>
      <c r="BG368" s="55"/>
    </row>
    <row r="369" spans="57:59" x14ac:dyDescent="0.25">
      <c r="BE369" s="55"/>
      <c r="BF369" s="55"/>
      <c r="BG369" s="55"/>
    </row>
    <row r="370" spans="57:59" x14ac:dyDescent="0.25">
      <c r="BE370" s="55"/>
      <c r="BF370" s="55"/>
      <c r="BG370" s="55"/>
    </row>
    <row r="371" spans="57:59" x14ac:dyDescent="0.25">
      <c r="BE371" s="55"/>
      <c r="BF371" s="55"/>
      <c r="BG371" s="55"/>
    </row>
    <row r="372" spans="57:59" x14ac:dyDescent="0.25">
      <c r="BE372" s="55"/>
      <c r="BF372" s="55"/>
      <c r="BG372" s="55"/>
    </row>
    <row r="373" spans="57:59" x14ac:dyDescent="0.25">
      <c r="BE373" s="55"/>
      <c r="BF373" s="55"/>
      <c r="BG373" s="55"/>
    </row>
    <row r="374" spans="57:59" x14ac:dyDescent="0.25">
      <c r="BE374" s="55"/>
      <c r="BF374" s="55"/>
      <c r="BG374" s="55"/>
    </row>
    <row r="375" spans="57:59" x14ac:dyDescent="0.25">
      <c r="BE375" s="55"/>
      <c r="BF375" s="55"/>
      <c r="BG375" s="55"/>
    </row>
    <row r="376" spans="57:59" x14ac:dyDescent="0.25">
      <c r="BE376" s="55"/>
      <c r="BF376" s="55"/>
      <c r="BG376" s="55"/>
    </row>
    <row r="377" spans="57:59" x14ac:dyDescent="0.25">
      <c r="BE377" s="55"/>
      <c r="BF377" s="55"/>
      <c r="BG377" s="55"/>
    </row>
    <row r="378" spans="57:59" x14ac:dyDescent="0.25">
      <c r="BE378" s="55"/>
      <c r="BF378" s="55"/>
      <c r="BG378" s="55"/>
    </row>
    <row r="379" spans="57:59" x14ac:dyDescent="0.25">
      <c r="BE379" s="55"/>
      <c r="BF379" s="55"/>
      <c r="BG379" s="55"/>
    </row>
    <row r="380" spans="57:59" x14ac:dyDescent="0.25">
      <c r="BE380" s="55"/>
      <c r="BF380" s="55"/>
      <c r="BG380" s="55"/>
    </row>
    <row r="381" spans="57:59" x14ac:dyDescent="0.25">
      <c r="BE381" s="55"/>
      <c r="BF381" s="55"/>
      <c r="BG381" s="55"/>
    </row>
    <row r="382" spans="57:59" x14ac:dyDescent="0.25">
      <c r="BE382" s="55"/>
      <c r="BF382" s="55"/>
      <c r="BG382" s="55"/>
    </row>
    <row r="383" spans="57:59" x14ac:dyDescent="0.25">
      <c r="BE383" s="55"/>
      <c r="BF383" s="55"/>
      <c r="BG383" s="55"/>
    </row>
    <row r="384" spans="57:59" x14ac:dyDescent="0.25">
      <c r="BE384" s="55"/>
      <c r="BF384" s="55"/>
      <c r="BG384" s="55"/>
    </row>
    <row r="385" spans="57:59" x14ac:dyDescent="0.25">
      <c r="BE385" s="55"/>
      <c r="BF385" s="55"/>
      <c r="BG385" s="55"/>
    </row>
    <row r="386" spans="57:59" x14ac:dyDescent="0.25">
      <c r="BE386" s="55"/>
      <c r="BF386" s="55"/>
      <c r="BG386" s="55"/>
    </row>
    <row r="387" spans="57:59" x14ac:dyDescent="0.25">
      <c r="BE387" s="55"/>
      <c r="BF387" s="55"/>
      <c r="BG387" s="55"/>
    </row>
    <row r="388" spans="57:59" x14ac:dyDescent="0.25">
      <c r="BE388" s="55"/>
      <c r="BF388" s="55"/>
      <c r="BG388" s="55"/>
    </row>
    <row r="389" spans="57:59" x14ac:dyDescent="0.25">
      <c r="BE389" s="55"/>
      <c r="BF389" s="55"/>
      <c r="BG389" s="55"/>
    </row>
    <row r="390" spans="57:59" x14ac:dyDescent="0.25">
      <c r="BE390" s="55"/>
      <c r="BF390" s="55"/>
      <c r="BG390" s="55"/>
    </row>
    <row r="391" spans="57:59" x14ac:dyDescent="0.25">
      <c r="BE391" s="55"/>
      <c r="BF391" s="55"/>
      <c r="BG391" s="55"/>
    </row>
    <row r="392" spans="57:59" x14ac:dyDescent="0.25">
      <c r="BE392" s="55"/>
      <c r="BF392" s="55"/>
      <c r="BG392" s="55"/>
    </row>
    <row r="393" spans="57:59" x14ac:dyDescent="0.25">
      <c r="BE393" s="55"/>
      <c r="BF393" s="55"/>
      <c r="BG393" s="55"/>
    </row>
    <row r="394" spans="57:59" x14ac:dyDescent="0.25">
      <c r="BE394" s="55"/>
      <c r="BF394" s="55"/>
      <c r="BG394" s="55"/>
    </row>
    <row r="395" spans="57:59" x14ac:dyDescent="0.25">
      <c r="BE395" s="55"/>
      <c r="BF395" s="55"/>
      <c r="BG395" s="55"/>
    </row>
    <row r="396" spans="57:59" x14ac:dyDescent="0.25">
      <c r="BE396" s="55"/>
      <c r="BF396" s="55"/>
      <c r="BG396" s="55"/>
    </row>
    <row r="397" spans="57:59" x14ac:dyDescent="0.25">
      <c r="BE397" s="55"/>
      <c r="BF397" s="55"/>
      <c r="BG397" s="55"/>
    </row>
    <row r="398" spans="57:59" x14ac:dyDescent="0.25">
      <c r="BE398" s="55"/>
      <c r="BF398" s="55"/>
      <c r="BG398" s="55"/>
    </row>
    <row r="399" spans="57:59" x14ac:dyDescent="0.25">
      <c r="BE399" s="55"/>
      <c r="BF399" s="55"/>
      <c r="BG399" s="55"/>
    </row>
    <row r="400" spans="57:59" x14ac:dyDescent="0.25">
      <c r="BE400" s="55"/>
      <c r="BF400" s="55"/>
      <c r="BG400" s="55"/>
    </row>
    <row r="401" spans="57:59" x14ac:dyDescent="0.25">
      <c r="BE401" s="55"/>
      <c r="BF401" s="55"/>
      <c r="BG401" s="55"/>
    </row>
    <row r="402" spans="57:59" x14ac:dyDescent="0.25">
      <c r="BE402" s="55"/>
      <c r="BF402" s="55"/>
      <c r="BG402" s="55"/>
    </row>
    <row r="403" spans="57:59" x14ac:dyDescent="0.25">
      <c r="BE403" s="55"/>
      <c r="BF403" s="55"/>
      <c r="BG403" s="55"/>
    </row>
    <row r="404" spans="57:59" x14ac:dyDescent="0.25">
      <c r="BE404" s="55"/>
      <c r="BF404" s="55"/>
      <c r="BG404" s="55"/>
    </row>
    <row r="405" spans="57:59" x14ac:dyDescent="0.25">
      <c r="BE405" s="55"/>
      <c r="BF405" s="55"/>
      <c r="BG405" s="55"/>
    </row>
    <row r="406" spans="57:59" x14ac:dyDescent="0.25">
      <c r="BE406" s="55"/>
      <c r="BF406" s="55"/>
      <c r="BG406" s="55"/>
    </row>
    <row r="407" spans="57:59" x14ac:dyDescent="0.25">
      <c r="BE407" s="55"/>
      <c r="BF407" s="55"/>
      <c r="BG407" s="55"/>
    </row>
    <row r="408" spans="57:59" x14ac:dyDescent="0.25">
      <c r="BE408" s="55"/>
      <c r="BF408" s="55"/>
      <c r="BG408" s="55"/>
    </row>
    <row r="409" spans="57:59" x14ac:dyDescent="0.25">
      <c r="BE409" s="55"/>
      <c r="BF409" s="55"/>
      <c r="BG409" s="55"/>
    </row>
    <row r="410" spans="57:59" x14ac:dyDescent="0.25">
      <c r="BE410" s="55"/>
      <c r="BF410" s="55"/>
      <c r="BG410" s="55"/>
    </row>
    <row r="411" spans="57:59" x14ac:dyDescent="0.25">
      <c r="BE411" s="55"/>
      <c r="BF411" s="55"/>
      <c r="BG411" s="55"/>
    </row>
    <row r="412" spans="57:59" x14ac:dyDescent="0.25">
      <c r="BE412" s="55"/>
      <c r="BF412" s="55"/>
      <c r="BG412" s="55"/>
    </row>
    <row r="413" spans="57:59" x14ac:dyDescent="0.25">
      <c r="BE413" s="55"/>
      <c r="BF413" s="55"/>
      <c r="BG413" s="55"/>
    </row>
    <row r="414" spans="57:59" x14ac:dyDescent="0.25">
      <c r="BE414" s="55"/>
      <c r="BF414" s="55"/>
      <c r="BG414" s="55"/>
    </row>
    <row r="415" spans="57:59" x14ac:dyDescent="0.25">
      <c r="BE415" s="55"/>
      <c r="BF415" s="55"/>
      <c r="BG415" s="55"/>
    </row>
    <row r="416" spans="57:59" x14ac:dyDescent="0.25">
      <c r="BE416" s="55"/>
      <c r="BF416" s="55"/>
      <c r="BG416" s="55"/>
    </row>
    <row r="417" spans="57:59" x14ac:dyDescent="0.25">
      <c r="BE417" s="55"/>
      <c r="BF417" s="55"/>
      <c r="BG417" s="55"/>
    </row>
    <row r="418" spans="57:59" x14ac:dyDescent="0.25">
      <c r="BE418" s="55"/>
      <c r="BF418" s="55"/>
      <c r="BG418" s="55"/>
    </row>
    <row r="419" spans="57:59" x14ac:dyDescent="0.25">
      <c r="BE419" s="55"/>
      <c r="BF419" s="55"/>
      <c r="BG419" s="55"/>
    </row>
    <row r="420" spans="57:59" x14ac:dyDescent="0.25">
      <c r="BE420" s="55"/>
      <c r="BF420" s="55"/>
      <c r="BG420" s="55"/>
    </row>
    <row r="421" spans="57:59" x14ac:dyDescent="0.25">
      <c r="BE421" s="55"/>
      <c r="BF421" s="55"/>
      <c r="BG421" s="55"/>
    </row>
    <row r="422" spans="57:59" x14ac:dyDescent="0.25">
      <c r="BE422" s="55"/>
      <c r="BF422" s="55"/>
      <c r="BG422" s="55"/>
    </row>
    <row r="423" spans="57:59" x14ac:dyDescent="0.25">
      <c r="BE423" s="55"/>
      <c r="BF423" s="55"/>
      <c r="BG423" s="55"/>
    </row>
    <row r="424" spans="57:59" x14ac:dyDescent="0.25">
      <c r="BE424" s="55"/>
      <c r="BF424" s="55"/>
      <c r="BG424" s="55"/>
    </row>
    <row r="425" spans="57:59" x14ac:dyDescent="0.25">
      <c r="BE425" s="55"/>
      <c r="BF425" s="55"/>
      <c r="BG425" s="55"/>
    </row>
    <row r="426" spans="57:59" x14ac:dyDescent="0.25">
      <c r="BE426" s="55"/>
      <c r="BF426" s="55"/>
      <c r="BG426" s="55"/>
    </row>
    <row r="427" spans="57:59" x14ac:dyDescent="0.25">
      <c r="BE427" s="55"/>
      <c r="BF427" s="55"/>
      <c r="BG427" s="55"/>
    </row>
    <row r="428" spans="57:59" x14ac:dyDescent="0.25">
      <c r="BE428" s="55"/>
      <c r="BF428" s="55"/>
      <c r="BG428" s="55"/>
    </row>
    <row r="429" spans="57:59" x14ac:dyDescent="0.25">
      <c r="BE429" s="55"/>
      <c r="BF429" s="55"/>
      <c r="BG429" s="55"/>
    </row>
    <row r="430" spans="57:59" x14ac:dyDescent="0.25">
      <c r="BE430" s="55"/>
      <c r="BF430" s="55"/>
      <c r="BG430" s="55"/>
    </row>
    <row r="431" spans="57:59" x14ac:dyDescent="0.25">
      <c r="BE431" s="55"/>
      <c r="BF431" s="55"/>
      <c r="BG431" s="55"/>
    </row>
    <row r="432" spans="57:59" x14ac:dyDescent="0.25">
      <c r="BE432" s="55"/>
      <c r="BF432" s="55"/>
      <c r="BG432" s="55"/>
    </row>
    <row r="433" spans="57:59" x14ac:dyDescent="0.25">
      <c r="BE433" s="55"/>
      <c r="BF433" s="55"/>
      <c r="BG433" s="55"/>
    </row>
    <row r="434" spans="57:59" x14ac:dyDescent="0.25">
      <c r="BE434" s="55"/>
      <c r="BF434" s="55"/>
      <c r="BG434" s="55"/>
    </row>
    <row r="435" spans="57:59" x14ac:dyDescent="0.25">
      <c r="BE435" s="55"/>
      <c r="BF435" s="55"/>
      <c r="BG435" s="55"/>
    </row>
    <row r="436" spans="57:59" x14ac:dyDescent="0.25">
      <c r="BE436" s="55"/>
      <c r="BF436" s="55"/>
      <c r="BG436" s="55"/>
    </row>
    <row r="437" spans="57:59" x14ac:dyDescent="0.25">
      <c r="BE437" s="55"/>
      <c r="BF437" s="55"/>
      <c r="BG437" s="55"/>
    </row>
    <row r="438" spans="57:59" x14ac:dyDescent="0.25">
      <c r="BE438" s="55"/>
      <c r="BF438" s="55"/>
      <c r="BG438" s="55"/>
    </row>
    <row r="439" spans="57:59" x14ac:dyDescent="0.25">
      <c r="BE439" s="55"/>
      <c r="BF439" s="55"/>
      <c r="BG439" s="55"/>
    </row>
    <row r="440" spans="57:59" x14ac:dyDescent="0.25">
      <c r="BE440" s="55"/>
      <c r="BF440" s="55"/>
      <c r="BG440" s="55"/>
    </row>
    <row r="441" spans="57:59" x14ac:dyDescent="0.25">
      <c r="BE441" s="55"/>
      <c r="BF441" s="55"/>
      <c r="BG441" s="55"/>
    </row>
    <row r="442" spans="57:59" x14ac:dyDescent="0.25">
      <c r="BE442" s="55"/>
      <c r="BF442" s="55"/>
      <c r="BG442" s="55"/>
    </row>
    <row r="443" spans="57:59" x14ac:dyDescent="0.25">
      <c r="BE443" s="55"/>
      <c r="BF443" s="55"/>
      <c r="BG443" s="55"/>
    </row>
    <row r="444" spans="57:59" x14ac:dyDescent="0.25">
      <c r="BE444" s="55"/>
      <c r="BF444" s="55"/>
      <c r="BG444" s="55"/>
    </row>
    <row r="445" spans="57:59" x14ac:dyDescent="0.25">
      <c r="BE445" s="55"/>
      <c r="BF445" s="55"/>
      <c r="BG445" s="55"/>
    </row>
    <row r="446" spans="57:59" x14ac:dyDescent="0.25">
      <c r="BE446" s="55"/>
      <c r="BF446" s="55"/>
      <c r="BG446" s="55"/>
    </row>
    <row r="447" spans="57:59" x14ac:dyDescent="0.25">
      <c r="BE447" s="55"/>
      <c r="BF447" s="55"/>
      <c r="BG447" s="55"/>
    </row>
    <row r="448" spans="57:59" x14ac:dyDescent="0.25">
      <c r="BE448" s="55"/>
      <c r="BF448" s="55"/>
      <c r="BG448" s="55"/>
    </row>
    <row r="449" spans="57:59" x14ac:dyDescent="0.25">
      <c r="BE449" s="55"/>
      <c r="BF449" s="55"/>
      <c r="BG449" s="55"/>
    </row>
    <row r="450" spans="57:59" x14ac:dyDescent="0.25">
      <c r="BE450" s="55"/>
      <c r="BF450" s="55"/>
      <c r="BG450" s="55"/>
    </row>
    <row r="451" spans="57:59" x14ac:dyDescent="0.25">
      <c r="BE451" s="55"/>
      <c r="BF451" s="55"/>
      <c r="BG451" s="55"/>
    </row>
    <row r="452" spans="57:59" x14ac:dyDescent="0.25">
      <c r="BE452" s="55"/>
      <c r="BF452" s="55"/>
      <c r="BG452" s="55"/>
    </row>
    <row r="453" spans="57:59" x14ac:dyDescent="0.25">
      <c r="BE453" s="55"/>
      <c r="BF453" s="55"/>
      <c r="BG453" s="55"/>
    </row>
    <row r="454" spans="57:59" x14ac:dyDescent="0.25">
      <c r="BE454" s="55"/>
      <c r="BF454" s="55"/>
      <c r="BG454" s="55"/>
    </row>
    <row r="455" spans="57:59" x14ac:dyDescent="0.25">
      <c r="BE455" s="55"/>
      <c r="BF455" s="55"/>
      <c r="BG455" s="55"/>
    </row>
    <row r="456" spans="57:59" x14ac:dyDescent="0.25">
      <c r="BE456" s="55"/>
      <c r="BF456" s="55"/>
      <c r="BG456" s="55"/>
    </row>
    <row r="457" spans="57:59" x14ac:dyDescent="0.25">
      <c r="BE457" s="55"/>
      <c r="BF457" s="55"/>
      <c r="BG457" s="55"/>
    </row>
    <row r="458" spans="57:59" x14ac:dyDescent="0.25">
      <c r="BE458" s="55"/>
      <c r="BF458" s="55"/>
      <c r="BG458" s="55"/>
    </row>
    <row r="459" spans="57:59" x14ac:dyDescent="0.25">
      <c r="BE459" s="55"/>
      <c r="BF459" s="55"/>
      <c r="BG459" s="55"/>
    </row>
    <row r="460" spans="57:59" x14ac:dyDescent="0.25">
      <c r="BE460" s="55"/>
      <c r="BF460" s="55"/>
      <c r="BG460" s="55"/>
    </row>
    <row r="461" spans="57:59" x14ac:dyDescent="0.25">
      <c r="BE461" s="55"/>
      <c r="BF461" s="55"/>
      <c r="BG461" s="55"/>
    </row>
    <row r="462" spans="57:59" x14ac:dyDescent="0.25">
      <c r="BE462" s="55"/>
      <c r="BF462" s="55"/>
      <c r="BG462" s="55"/>
    </row>
    <row r="463" spans="57:59" x14ac:dyDescent="0.25">
      <c r="BE463" s="55"/>
      <c r="BF463" s="55"/>
      <c r="BG463" s="55"/>
    </row>
    <row r="464" spans="57:59" x14ac:dyDescent="0.25">
      <c r="BE464" s="55"/>
      <c r="BF464" s="55"/>
      <c r="BG464" s="55"/>
    </row>
    <row r="465" spans="57:59" x14ac:dyDescent="0.25">
      <c r="BE465" s="55"/>
      <c r="BF465" s="55"/>
      <c r="BG465" s="55"/>
    </row>
    <row r="466" spans="57:59" x14ac:dyDescent="0.25">
      <c r="BE466" s="55"/>
      <c r="BF466" s="55"/>
      <c r="BG466" s="55"/>
    </row>
    <row r="467" spans="57:59" x14ac:dyDescent="0.25">
      <c r="BE467" s="55"/>
      <c r="BF467" s="55"/>
      <c r="BG467" s="55"/>
    </row>
    <row r="468" spans="57:59" x14ac:dyDescent="0.25">
      <c r="BE468" s="55"/>
      <c r="BF468" s="55"/>
      <c r="BG468" s="55"/>
    </row>
    <row r="469" spans="57:59" x14ac:dyDescent="0.25">
      <c r="BE469" s="55"/>
      <c r="BF469" s="55"/>
      <c r="BG469" s="55"/>
    </row>
    <row r="470" spans="57:59" x14ac:dyDescent="0.25">
      <c r="BE470" s="55"/>
      <c r="BF470" s="55"/>
      <c r="BG470" s="55"/>
    </row>
    <row r="471" spans="57:59" x14ac:dyDescent="0.25">
      <c r="BE471" s="55"/>
      <c r="BF471" s="55"/>
      <c r="BG471" s="55"/>
    </row>
    <row r="472" spans="57:59" x14ac:dyDescent="0.25">
      <c r="BE472" s="55"/>
      <c r="BF472" s="55"/>
      <c r="BG472" s="55"/>
    </row>
    <row r="473" spans="57:59" x14ac:dyDescent="0.25">
      <c r="BE473" s="55"/>
      <c r="BF473" s="55"/>
      <c r="BG473" s="55"/>
    </row>
    <row r="474" spans="57:59" x14ac:dyDescent="0.25">
      <c r="BE474" s="55"/>
      <c r="BF474" s="55"/>
      <c r="BG474" s="55"/>
    </row>
    <row r="475" spans="57:59" x14ac:dyDescent="0.25">
      <c r="BE475" s="55"/>
      <c r="BF475" s="55"/>
      <c r="BG475" s="55"/>
    </row>
    <row r="476" spans="57:59" x14ac:dyDescent="0.25">
      <c r="BE476" s="55"/>
      <c r="BF476" s="55"/>
      <c r="BG476" s="55"/>
    </row>
    <row r="477" spans="57:59" x14ac:dyDescent="0.25">
      <c r="BE477" s="55"/>
      <c r="BF477" s="55"/>
      <c r="BG477" s="55"/>
    </row>
    <row r="478" spans="57:59" x14ac:dyDescent="0.25">
      <c r="BE478" s="55"/>
      <c r="BF478" s="55"/>
      <c r="BG478" s="55"/>
    </row>
    <row r="479" spans="57:59" x14ac:dyDescent="0.25">
      <c r="BE479" s="55"/>
      <c r="BF479" s="55"/>
      <c r="BG479" s="55"/>
    </row>
    <row r="480" spans="57:59" x14ac:dyDescent="0.25">
      <c r="BE480" s="55"/>
      <c r="BF480" s="55"/>
      <c r="BG480" s="55"/>
    </row>
    <row r="481" spans="57:59" x14ac:dyDescent="0.25">
      <c r="BE481" s="55"/>
      <c r="BF481" s="55"/>
      <c r="BG481" s="55"/>
    </row>
    <row r="482" spans="57:59" x14ac:dyDescent="0.25">
      <c r="BE482" s="55"/>
      <c r="BF482" s="55"/>
      <c r="BG482" s="55"/>
    </row>
    <row r="483" spans="57:59" x14ac:dyDescent="0.25">
      <c r="BE483" s="55"/>
      <c r="BF483" s="55"/>
      <c r="BG483" s="55"/>
    </row>
    <row r="484" spans="57:59" x14ac:dyDescent="0.25">
      <c r="BE484" s="55"/>
      <c r="BF484" s="55"/>
      <c r="BG484" s="55"/>
    </row>
    <row r="485" spans="57:59" x14ac:dyDescent="0.25">
      <c r="BE485" s="55"/>
      <c r="BF485" s="55"/>
      <c r="BG485" s="55"/>
    </row>
    <row r="486" spans="57:59" x14ac:dyDescent="0.25">
      <c r="BE486" s="55"/>
      <c r="BF486" s="55"/>
      <c r="BG486" s="55"/>
    </row>
    <row r="487" spans="57:59" x14ac:dyDescent="0.25">
      <c r="BE487" s="55"/>
      <c r="BF487" s="55"/>
      <c r="BG487" s="55"/>
    </row>
    <row r="488" spans="57:59" x14ac:dyDescent="0.25">
      <c r="BE488" s="55"/>
      <c r="BF488" s="55"/>
      <c r="BG488" s="55"/>
    </row>
    <row r="489" spans="57:59" x14ac:dyDescent="0.25">
      <c r="BE489" s="55"/>
      <c r="BF489" s="55"/>
      <c r="BG489" s="55"/>
    </row>
    <row r="490" spans="57:59" x14ac:dyDescent="0.25">
      <c r="BE490" s="55"/>
      <c r="BF490" s="55"/>
      <c r="BG490" s="55"/>
    </row>
    <row r="491" spans="57:59" x14ac:dyDescent="0.25">
      <c r="BE491" s="55"/>
      <c r="BF491" s="55"/>
      <c r="BG491" s="55"/>
    </row>
    <row r="492" spans="57:59" x14ac:dyDescent="0.25">
      <c r="BE492" s="55"/>
      <c r="BF492" s="55"/>
      <c r="BG492" s="55"/>
    </row>
    <row r="493" spans="57:59" x14ac:dyDescent="0.25">
      <c r="BE493" s="55"/>
      <c r="BF493" s="55"/>
      <c r="BG493" s="55"/>
    </row>
    <row r="494" spans="57:59" x14ac:dyDescent="0.25">
      <c r="BE494" s="55"/>
      <c r="BF494" s="55"/>
      <c r="BG494" s="55"/>
    </row>
    <row r="495" spans="57:59" x14ac:dyDescent="0.25">
      <c r="BE495" s="55"/>
      <c r="BF495" s="55"/>
      <c r="BG495" s="55"/>
    </row>
    <row r="496" spans="57:59" x14ac:dyDescent="0.25">
      <c r="BE496" s="55"/>
      <c r="BF496" s="55"/>
      <c r="BG496" s="55"/>
    </row>
    <row r="497" spans="57:59" x14ac:dyDescent="0.25">
      <c r="BE497" s="55"/>
      <c r="BF497" s="55"/>
      <c r="BG497" s="55"/>
    </row>
    <row r="498" spans="57:59" x14ac:dyDescent="0.25">
      <c r="BE498" s="55"/>
      <c r="BF498" s="55"/>
      <c r="BG498" s="55"/>
    </row>
    <row r="499" spans="57:59" x14ac:dyDescent="0.25">
      <c r="BE499" s="55"/>
      <c r="BF499" s="55"/>
      <c r="BG499" s="55"/>
    </row>
    <row r="500" spans="57:59" x14ac:dyDescent="0.25">
      <c r="BE500" s="55"/>
      <c r="BF500" s="55"/>
      <c r="BG500" s="55"/>
    </row>
    <row r="501" spans="57:59" x14ac:dyDescent="0.25">
      <c r="BE501" s="55"/>
      <c r="BF501" s="55"/>
      <c r="BG501" s="55"/>
    </row>
    <row r="502" spans="57:59" x14ac:dyDescent="0.25">
      <c r="BE502" s="55"/>
      <c r="BF502" s="55"/>
      <c r="BG502" s="55"/>
    </row>
    <row r="503" spans="57:59" x14ac:dyDescent="0.25">
      <c r="BE503" s="55"/>
      <c r="BF503" s="55"/>
      <c r="BG503" s="55"/>
    </row>
    <row r="504" spans="57:59" x14ac:dyDescent="0.25">
      <c r="BE504" s="55"/>
      <c r="BF504" s="55"/>
      <c r="BG504" s="55"/>
    </row>
    <row r="505" spans="57:59" x14ac:dyDescent="0.25">
      <c r="BE505" s="55"/>
      <c r="BF505" s="55"/>
      <c r="BG505" s="55"/>
    </row>
    <row r="506" spans="57:59" x14ac:dyDescent="0.25">
      <c r="BE506" s="55"/>
      <c r="BF506" s="55"/>
      <c r="BG506" s="55"/>
    </row>
    <row r="507" spans="57:59" x14ac:dyDescent="0.25">
      <c r="BE507" s="55"/>
      <c r="BF507" s="55"/>
      <c r="BG507" s="55"/>
    </row>
    <row r="508" spans="57:59" x14ac:dyDescent="0.25">
      <c r="BE508" s="55"/>
      <c r="BF508" s="55"/>
      <c r="BG508" s="55"/>
    </row>
    <row r="509" spans="57:59" x14ac:dyDescent="0.25">
      <c r="BE509" s="55"/>
      <c r="BF509" s="55"/>
      <c r="BG509" s="55"/>
    </row>
    <row r="510" spans="57:59" x14ac:dyDescent="0.25">
      <c r="BE510" s="55"/>
      <c r="BF510" s="55"/>
      <c r="BG510" s="55"/>
    </row>
    <row r="511" spans="57:59" x14ac:dyDescent="0.25">
      <c r="BE511" s="55"/>
      <c r="BF511" s="55"/>
      <c r="BG511" s="55"/>
    </row>
    <row r="512" spans="57:59" x14ac:dyDescent="0.25">
      <c r="BE512" s="55"/>
      <c r="BF512" s="55"/>
      <c r="BG512" s="55"/>
    </row>
    <row r="513" spans="57:59" x14ac:dyDescent="0.25">
      <c r="BE513" s="55"/>
      <c r="BF513" s="55"/>
      <c r="BG513" s="55"/>
    </row>
    <row r="514" spans="57:59" x14ac:dyDescent="0.25">
      <c r="BE514" s="55"/>
      <c r="BF514" s="55"/>
      <c r="BG514" s="55"/>
    </row>
    <row r="515" spans="57:59" x14ac:dyDescent="0.25">
      <c r="BE515" s="55"/>
      <c r="BF515" s="55"/>
      <c r="BG515" s="55"/>
    </row>
    <row r="516" spans="57:59" x14ac:dyDescent="0.25">
      <c r="BE516" s="55"/>
      <c r="BF516" s="55"/>
      <c r="BG516" s="55"/>
    </row>
    <row r="517" spans="57:59" x14ac:dyDescent="0.25">
      <c r="BE517" s="55"/>
      <c r="BF517" s="55"/>
      <c r="BG517" s="55"/>
    </row>
    <row r="518" spans="57:59" x14ac:dyDescent="0.25">
      <c r="BE518" s="55"/>
      <c r="BF518" s="55"/>
      <c r="BG518" s="55"/>
    </row>
    <row r="519" spans="57:59" x14ac:dyDescent="0.25">
      <c r="BE519" s="55"/>
      <c r="BF519" s="55"/>
      <c r="BG519" s="55"/>
    </row>
    <row r="520" spans="57:59" x14ac:dyDescent="0.25">
      <c r="BE520" s="55"/>
      <c r="BF520" s="55"/>
      <c r="BG520" s="55"/>
    </row>
    <row r="521" spans="57:59" x14ac:dyDescent="0.25">
      <c r="BE521" s="55"/>
      <c r="BF521" s="55"/>
      <c r="BG521" s="55"/>
    </row>
    <row r="522" spans="57:59" x14ac:dyDescent="0.25">
      <c r="BE522" s="55"/>
      <c r="BF522" s="55"/>
      <c r="BG522" s="55"/>
    </row>
    <row r="523" spans="57:59" x14ac:dyDescent="0.25">
      <c r="BE523" s="55"/>
      <c r="BF523" s="55"/>
      <c r="BG523" s="55"/>
    </row>
    <row r="524" spans="57:59" x14ac:dyDescent="0.25">
      <c r="BE524" s="55"/>
      <c r="BF524" s="55"/>
      <c r="BG524" s="55"/>
    </row>
    <row r="525" spans="57:59" x14ac:dyDescent="0.25">
      <c r="BE525" s="55"/>
      <c r="BF525" s="55"/>
      <c r="BG525" s="55"/>
    </row>
    <row r="526" spans="57:59" x14ac:dyDescent="0.25">
      <c r="BE526" s="55"/>
      <c r="BF526" s="55"/>
      <c r="BG526" s="55"/>
    </row>
    <row r="527" spans="57:59" x14ac:dyDescent="0.25">
      <c r="BE527" s="55"/>
      <c r="BF527" s="55"/>
      <c r="BG527" s="55"/>
    </row>
    <row r="528" spans="57:59" x14ac:dyDescent="0.25">
      <c r="BE528" s="55"/>
      <c r="BF528" s="55"/>
      <c r="BG528" s="55"/>
    </row>
    <row r="529" spans="57:59" x14ac:dyDescent="0.25">
      <c r="BE529" s="55"/>
      <c r="BF529" s="55"/>
      <c r="BG529" s="55"/>
    </row>
    <row r="530" spans="57:59" x14ac:dyDescent="0.25">
      <c r="BE530" s="55"/>
      <c r="BF530" s="55"/>
      <c r="BG530" s="55"/>
    </row>
    <row r="531" spans="57:59" x14ac:dyDescent="0.25">
      <c r="BE531" s="55"/>
      <c r="BF531" s="55"/>
      <c r="BG531" s="55"/>
    </row>
    <row r="532" spans="57:59" x14ac:dyDescent="0.25">
      <c r="BE532" s="55"/>
      <c r="BF532" s="55"/>
      <c r="BG532" s="55"/>
    </row>
    <row r="533" spans="57:59" x14ac:dyDescent="0.25">
      <c r="BE533" s="55"/>
      <c r="BF533" s="55"/>
      <c r="BG533" s="55"/>
    </row>
    <row r="534" spans="57:59" x14ac:dyDescent="0.25">
      <c r="BE534" s="55"/>
      <c r="BF534" s="55"/>
      <c r="BG534" s="55"/>
    </row>
    <row r="535" spans="57:59" x14ac:dyDescent="0.25">
      <c r="BE535" s="55"/>
      <c r="BF535" s="55"/>
      <c r="BG535" s="55"/>
    </row>
    <row r="536" spans="57:59" x14ac:dyDescent="0.25">
      <c r="BE536" s="55"/>
      <c r="BF536" s="55"/>
      <c r="BG536" s="55"/>
    </row>
    <row r="537" spans="57:59" x14ac:dyDescent="0.25">
      <c r="BE537" s="55"/>
      <c r="BF537" s="55"/>
      <c r="BG537" s="55"/>
    </row>
    <row r="538" spans="57:59" x14ac:dyDescent="0.25">
      <c r="BE538" s="55"/>
      <c r="BF538" s="55"/>
      <c r="BG538" s="55"/>
    </row>
    <row r="539" spans="57:59" x14ac:dyDescent="0.25">
      <c r="BE539" s="55"/>
      <c r="BF539" s="55"/>
      <c r="BG539" s="55"/>
    </row>
    <row r="540" spans="57:59" x14ac:dyDescent="0.25">
      <c r="BE540" s="55"/>
      <c r="BF540" s="55"/>
      <c r="BG540" s="55"/>
    </row>
    <row r="541" spans="57:59" x14ac:dyDescent="0.25">
      <c r="BE541" s="55"/>
      <c r="BF541" s="55"/>
      <c r="BG541" s="55"/>
    </row>
    <row r="542" spans="57:59" x14ac:dyDescent="0.25">
      <c r="BE542" s="55"/>
      <c r="BF542" s="55"/>
      <c r="BG542" s="55"/>
    </row>
    <row r="543" spans="57:59" x14ac:dyDescent="0.25">
      <c r="BE543" s="55"/>
      <c r="BF543" s="55"/>
      <c r="BG543" s="55"/>
    </row>
    <row r="544" spans="57:59" x14ac:dyDescent="0.25">
      <c r="BE544" s="55"/>
      <c r="BF544" s="55"/>
      <c r="BG544" s="55"/>
    </row>
    <row r="545" spans="57:59" x14ac:dyDescent="0.25">
      <c r="BE545" s="55"/>
      <c r="BF545" s="55"/>
      <c r="BG545" s="55"/>
    </row>
    <row r="546" spans="57:59" x14ac:dyDescent="0.25">
      <c r="BE546" s="55"/>
      <c r="BF546" s="55"/>
      <c r="BG546" s="55"/>
    </row>
    <row r="547" spans="57:59" x14ac:dyDescent="0.25">
      <c r="BE547" s="55"/>
      <c r="BF547" s="55"/>
      <c r="BG547" s="55"/>
    </row>
    <row r="548" spans="57:59" x14ac:dyDescent="0.25">
      <c r="BE548" s="55"/>
      <c r="BF548" s="55"/>
      <c r="BG548" s="55"/>
    </row>
    <row r="549" spans="57:59" x14ac:dyDescent="0.25">
      <c r="BE549" s="55"/>
      <c r="BF549" s="55"/>
      <c r="BG549" s="55"/>
    </row>
    <row r="550" spans="57:59" x14ac:dyDescent="0.25">
      <c r="BE550" s="55"/>
      <c r="BF550" s="55"/>
      <c r="BG550" s="55"/>
    </row>
    <row r="551" spans="57:59" x14ac:dyDescent="0.25">
      <c r="BE551" s="55"/>
      <c r="BF551" s="55"/>
      <c r="BG551" s="55"/>
    </row>
    <row r="552" spans="57:59" x14ac:dyDescent="0.25">
      <c r="BE552" s="55"/>
      <c r="BF552" s="55"/>
      <c r="BG552" s="55"/>
    </row>
    <row r="553" spans="57:59" x14ac:dyDescent="0.25">
      <c r="BE553" s="55"/>
      <c r="BF553" s="55"/>
      <c r="BG553" s="55"/>
    </row>
    <row r="554" spans="57:59" x14ac:dyDescent="0.25">
      <c r="BE554" s="55"/>
      <c r="BF554" s="55"/>
      <c r="BG554" s="55"/>
    </row>
    <row r="555" spans="57:59" x14ac:dyDescent="0.25">
      <c r="BE555" s="55"/>
      <c r="BF555" s="55"/>
      <c r="BG555" s="55"/>
    </row>
    <row r="556" spans="57:59" x14ac:dyDescent="0.25">
      <c r="BE556" s="55"/>
      <c r="BF556" s="55"/>
      <c r="BG556" s="55"/>
    </row>
    <row r="557" spans="57:59" x14ac:dyDescent="0.25">
      <c r="BE557" s="55"/>
      <c r="BF557" s="55"/>
      <c r="BG557" s="55"/>
    </row>
    <row r="558" spans="57:59" x14ac:dyDescent="0.25">
      <c r="BE558" s="55"/>
      <c r="BF558" s="55"/>
      <c r="BG558" s="55"/>
    </row>
    <row r="559" spans="57:59" x14ac:dyDescent="0.25">
      <c r="BE559" s="55"/>
      <c r="BF559" s="55"/>
      <c r="BG559" s="55"/>
    </row>
    <row r="560" spans="57:59" x14ac:dyDescent="0.25">
      <c r="BE560" s="55"/>
      <c r="BF560" s="55"/>
      <c r="BG560" s="55"/>
    </row>
    <row r="561" spans="57:59" x14ac:dyDescent="0.25">
      <c r="BE561" s="55"/>
      <c r="BF561" s="55"/>
      <c r="BG561" s="55"/>
    </row>
    <row r="562" spans="57:59" x14ac:dyDescent="0.25">
      <c r="BE562" s="55"/>
      <c r="BF562" s="55"/>
      <c r="BG562" s="55"/>
    </row>
    <row r="563" spans="57:59" x14ac:dyDescent="0.25">
      <c r="BE563" s="55"/>
      <c r="BF563" s="55"/>
      <c r="BG563" s="55"/>
    </row>
    <row r="564" spans="57:59" x14ac:dyDescent="0.25">
      <c r="BE564" s="55"/>
      <c r="BF564" s="55"/>
      <c r="BG564" s="55"/>
    </row>
    <row r="565" spans="57:59" x14ac:dyDescent="0.25">
      <c r="BE565" s="55"/>
      <c r="BF565" s="55"/>
      <c r="BG565" s="55"/>
    </row>
    <row r="566" spans="57:59" x14ac:dyDescent="0.25">
      <c r="BE566" s="55"/>
      <c r="BF566" s="55"/>
      <c r="BG566" s="55"/>
    </row>
    <row r="567" spans="57:59" x14ac:dyDescent="0.25">
      <c r="BE567" s="55"/>
      <c r="BF567" s="55"/>
      <c r="BG567" s="55"/>
    </row>
    <row r="568" spans="57:59" x14ac:dyDescent="0.25">
      <c r="BE568" s="55"/>
      <c r="BF568" s="55"/>
      <c r="BG568" s="55"/>
    </row>
    <row r="569" spans="57:59" x14ac:dyDescent="0.25">
      <c r="BE569" s="55"/>
      <c r="BF569" s="55"/>
      <c r="BG569" s="55"/>
    </row>
    <row r="570" spans="57:59" x14ac:dyDescent="0.25">
      <c r="BE570" s="55"/>
      <c r="BF570" s="55"/>
      <c r="BG570" s="55"/>
    </row>
    <row r="571" spans="57:59" x14ac:dyDescent="0.25">
      <c r="BE571" s="55"/>
      <c r="BF571" s="55"/>
      <c r="BG571" s="55"/>
    </row>
    <row r="572" spans="57:59" x14ac:dyDescent="0.25">
      <c r="BE572" s="55"/>
      <c r="BF572" s="55"/>
      <c r="BG572" s="55"/>
    </row>
    <row r="573" spans="57:59" x14ac:dyDescent="0.25">
      <c r="BE573" s="55"/>
      <c r="BF573" s="55"/>
      <c r="BG573" s="55"/>
    </row>
    <row r="574" spans="57:59" x14ac:dyDescent="0.25">
      <c r="BE574" s="55"/>
      <c r="BF574" s="55"/>
      <c r="BG574" s="55"/>
    </row>
    <row r="575" spans="57:59" x14ac:dyDescent="0.25">
      <c r="BE575" s="55"/>
      <c r="BF575" s="55"/>
      <c r="BG575" s="55"/>
    </row>
    <row r="576" spans="57:59" x14ac:dyDescent="0.25">
      <c r="BE576" s="55"/>
      <c r="BF576" s="55"/>
      <c r="BG576" s="55"/>
    </row>
    <row r="577" spans="57:59" x14ac:dyDescent="0.25">
      <c r="BE577" s="55"/>
      <c r="BF577" s="55"/>
      <c r="BG577" s="55"/>
    </row>
    <row r="578" spans="57:59" x14ac:dyDescent="0.25">
      <c r="BE578" s="55"/>
      <c r="BF578" s="55"/>
      <c r="BG578" s="55"/>
    </row>
    <row r="579" spans="57:59" x14ac:dyDescent="0.25">
      <c r="BE579" s="55"/>
      <c r="BF579" s="55"/>
      <c r="BG579" s="55"/>
    </row>
    <row r="580" spans="57:59" x14ac:dyDescent="0.25">
      <c r="BE580" s="55"/>
      <c r="BF580" s="55"/>
      <c r="BG580" s="55"/>
    </row>
    <row r="581" spans="57:59" x14ac:dyDescent="0.25">
      <c r="BE581" s="55"/>
      <c r="BF581" s="55"/>
      <c r="BG581" s="55"/>
    </row>
    <row r="582" spans="57:59" x14ac:dyDescent="0.25">
      <c r="BE582" s="55"/>
      <c r="BF582" s="55"/>
      <c r="BG582" s="55"/>
    </row>
    <row r="583" spans="57:59" x14ac:dyDescent="0.25">
      <c r="BE583" s="55"/>
      <c r="BF583" s="55"/>
      <c r="BG583" s="55"/>
    </row>
    <row r="584" spans="57:59" x14ac:dyDescent="0.25">
      <c r="BE584" s="55"/>
      <c r="BF584" s="55"/>
      <c r="BG584" s="55"/>
    </row>
    <row r="585" spans="57:59" x14ac:dyDescent="0.25">
      <c r="BE585" s="55"/>
      <c r="BF585" s="55"/>
      <c r="BG585" s="55"/>
    </row>
    <row r="586" spans="57:59" x14ac:dyDescent="0.25">
      <c r="BE586" s="55"/>
      <c r="BF586" s="55"/>
      <c r="BG586" s="55"/>
    </row>
    <row r="587" spans="57:59" x14ac:dyDescent="0.25">
      <c r="BE587" s="55"/>
      <c r="BF587" s="55"/>
      <c r="BG587" s="55"/>
    </row>
    <row r="588" spans="57:59" x14ac:dyDescent="0.25">
      <c r="BE588" s="55"/>
      <c r="BF588" s="55"/>
      <c r="BG588" s="55"/>
    </row>
    <row r="589" spans="57:59" x14ac:dyDescent="0.25">
      <c r="BE589" s="55"/>
      <c r="BF589" s="55"/>
      <c r="BG589" s="55"/>
    </row>
    <row r="590" spans="57:59" x14ac:dyDescent="0.25">
      <c r="BE590" s="55"/>
      <c r="BF590" s="55"/>
      <c r="BG590" s="55"/>
    </row>
    <row r="591" spans="57:59" x14ac:dyDescent="0.25">
      <c r="BE591" s="55"/>
      <c r="BF591" s="55"/>
      <c r="BG591" s="55"/>
    </row>
    <row r="592" spans="57:59" x14ac:dyDescent="0.25">
      <c r="BE592" s="55"/>
      <c r="BF592" s="55"/>
      <c r="BG592" s="55"/>
    </row>
    <row r="593" spans="57:59" x14ac:dyDescent="0.25">
      <c r="BE593" s="55"/>
      <c r="BF593" s="55"/>
      <c r="BG593" s="55"/>
    </row>
    <row r="594" spans="57:59" x14ac:dyDescent="0.25">
      <c r="BE594" s="55"/>
      <c r="BF594" s="55"/>
      <c r="BG594" s="55"/>
    </row>
    <row r="595" spans="57:59" x14ac:dyDescent="0.25">
      <c r="BE595" s="55"/>
      <c r="BF595" s="55"/>
      <c r="BG595" s="55"/>
    </row>
    <row r="596" spans="57:59" x14ac:dyDescent="0.25">
      <c r="BE596" s="55"/>
      <c r="BF596" s="55"/>
      <c r="BG596" s="55"/>
    </row>
    <row r="597" spans="57:59" x14ac:dyDescent="0.25">
      <c r="BE597" s="55"/>
      <c r="BF597" s="55"/>
      <c r="BG597" s="55"/>
    </row>
    <row r="598" spans="57:59" x14ac:dyDescent="0.25">
      <c r="BE598" s="55"/>
      <c r="BF598" s="55"/>
      <c r="BG598" s="55"/>
    </row>
    <row r="599" spans="57:59" x14ac:dyDescent="0.25">
      <c r="BE599" s="55"/>
      <c r="BF599" s="55"/>
      <c r="BG599" s="55"/>
    </row>
    <row r="600" spans="57:59" x14ac:dyDescent="0.25">
      <c r="BE600" s="55"/>
      <c r="BF600" s="55"/>
      <c r="BG600" s="55"/>
    </row>
    <row r="601" spans="57:59" x14ac:dyDescent="0.25">
      <c r="BE601" s="55"/>
      <c r="BF601" s="55"/>
      <c r="BG601" s="55"/>
    </row>
    <row r="602" spans="57:59" x14ac:dyDescent="0.25">
      <c r="BE602" s="55"/>
      <c r="BF602" s="55"/>
      <c r="BG602" s="55"/>
    </row>
    <row r="603" spans="57:59" x14ac:dyDescent="0.25">
      <c r="BE603" s="55"/>
      <c r="BF603" s="55"/>
      <c r="BG603" s="55"/>
    </row>
    <row r="604" spans="57:59" x14ac:dyDescent="0.25">
      <c r="BE604" s="55"/>
      <c r="BF604" s="55"/>
      <c r="BG604" s="55"/>
    </row>
    <row r="605" spans="57:59" x14ac:dyDescent="0.25">
      <c r="BE605" s="55"/>
      <c r="BF605" s="55"/>
      <c r="BG605" s="55"/>
    </row>
    <row r="606" spans="57:59" x14ac:dyDescent="0.25">
      <c r="BE606" s="55"/>
      <c r="BF606" s="55"/>
      <c r="BG606" s="55"/>
    </row>
    <row r="607" spans="57:59" x14ac:dyDescent="0.25">
      <c r="BE607" s="55"/>
      <c r="BF607" s="55"/>
      <c r="BG607" s="55"/>
    </row>
    <row r="608" spans="57:59" x14ac:dyDescent="0.25">
      <c r="BE608" s="55"/>
      <c r="BF608" s="55"/>
      <c r="BG608" s="55"/>
    </row>
    <row r="609" spans="57:59" x14ac:dyDescent="0.25">
      <c r="BE609" s="55"/>
      <c r="BF609" s="55"/>
      <c r="BG609" s="55"/>
    </row>
    <row r="610" spans="57:59" x14ac:dyDescent="0.25">
      <c r="BE610" s="55"/>
      <c r="BF610" s="55"/>
      <c r="BG610" s="55"/>
    </row>
    <row r="611" spans="57:59" x14ac:dyDescent="0.25">
      <c r="BE611" s="55"/>
      <c r="BF611" s="55"/>
      <c r="BG611" s="55"/>
    </row>
    <row r="612" spans="57:59" x14ac:dyDescent="0.25">
      <c r="BE612" s="55"/>
      <c r="BF612" s="55"/>
      <c r="BG612" s="55"/>
    </row>
    <row r="613" spans="57:59" x14ac:dyDescent="0.25">
      <c r="BE613" s="55"/>
      <c r="BF613" s="55"/>
      <c r="BG613" s="55"/>
    </row>
    <row r="614" spans="57:59" x14ac:dyDescent="0.25">
      <c r="BE614" s="55"/>
      <c r="BF614" s="55"/>
      <c r="BG614" s="55"/>
    </row>
    <row r="615" spans="57:59" x14ac:dyDescent="0.25">
      <c r="BE615" s="55"/>
      <c r="BF615" s="55"/>
      <c r="BG615" s="55"/>
    </row>
    <row r="616" spans="57:59" x14ac:dyDescent="0.25">
      <c r="BE616" s="55"/>
      <c r="BF616" s="55"/>
      <c r="BG616" s="55"/>
    </row>
    <row r="617" spans="57:59" x14ac:dyDescent="0.25">
      <c r="BE617" s="55"/>
      <c r="BF617" s="55"/>
      <c r="BG617" s="55"/>
    </row>
    <row r="618" spans="57:59" x14ac:dyDescent="0.25">
      <c r="BE618" s="55"/>
      <c r="BF618" s="55"/>
      <c r="BG618" s="55"/>
    </row>
    <row r="619" spans="57:59" x14ac:dyDescent="0.25">
      <c r="BE619" s="55"/>
      <c r="BF619" s="55"/>
      <c r="BG619" s="55"/>
    </row>
    <row r="620" spans="57:59" x14ac:dyDescent="0.25">
      <c r="BE620" s="55"/>
      <c r="BF620" s="55"/>
      <c r="BG620" s="55"/>
    </row>
    <row r="621" spans="57:59" x14ac:dyDescent="0.25">
      <c r="BE621" s="55"/>
      <c r="BF621" s="55"/>
      <c r="BG621" s="55"/>
    </row>
    <row r="622" spans="57:59" x14ac:dyDescent="0.25">
      <c r="BE622" s="55"/>
      <c r="BF622" s="55"/>
      <c r="BG622" s="55"/>
    </row>
    <row r="623" spans="57:59" x14ac:dyDescent="0.25">
      <c r="BE623" s="55"/>
      <c r="BF623" s="55"/>
      <c r="BG623" s="55"/>
    </row>
    <row r="624" spans="57:59" x14ac:dyDescent="0.25">
      <c r="BE624" s="55"/>
      <c r="BF624" s="55"/>
      <c r="BG624" s="55"/>
    </row>
    <row r="625" spans="57:59" x14ac:dyDescent="0.25">
      <c r="BE625" s="55"/>
      <c r="BF625" s="55"/>
      <c r="BG625" s="55"/>
    </row>
    <row r="626" spans="57:59" x14ac:dyDescent="0.25">
      <c r="BE626" s="55"/>
      <c r="BF626" s="55"/>
      <c r="BG626" s="55"/>
    </row>
    <row r="627" spans="57:59" x14ac:dyDescent="0.25">
      <c r="BE627" s="55"/>
      <c r="BF627" s="55"/>
      <c r="BG627" s="55"/>
    </row>
    <row r="628" spans="57:59" x14ac:dyDescent="0.25">
      <c r="BE628" s="55"/>
      <c r="BF628" s="55"/>
      <c r="BG628" s="55"/>
    </row>
    <row r="629" spans="57:59" x14ac:dyDescent="0.25">
      <c r="BE629" s="55"/>
      <c r="BF629" s="55"/>
      <c r="BG629" s="55"/>
    </row>
    <row r="630" spans="57:59" x14ac:dyDescent="0.25">
      <c r="BE630" s="55"/>
      <c r="BF630" s="55"/>
      <c r="BG630" s="55"/>
    </row>
    <row r="631" spans="57:59" x14ac:dyDescent="0.25">
      <c r="BE631" s="55"/>
      <c r="BF631" s="55"/>
      <c r="BG631" s="55"/>
    </row>
    <row r="632" spans="57:59" x14ac:dyDescent="0.25">
      <c r="BE632" s="55"/>
      <c r="BF632" s="55"/>
      <c r="BG632" s="55"/>
    </row>
    <row r="633" spans="57:59" x14ac:dyDescent="0.25">
      <c r="BE633" s="55"/>
      <c r="BF633" s="55"/>
      <c r="BG633" s="55"/>
    </row>
    <row r="634" spans="57:59" x14ac:dyDescent="0.25">
      <c r="BE634" s="55"/>
      <c r="BF634" s="55"/>
      <c r="BG634" s="55"/>
    </row>
    <row r="635" spans="57:59" x14ac:dyDescent="0.25">
      <c r="BE635" s="55"/>
      <c r="BF635" s="55"/>
      <c r="BG635" s="55"/>
    </row>
    <row r="636" spans="57:59" x14ac:dyDescent="0.25">
      <c r="BE636" s="55"/>
      <c r="BF636" s="55"/>
      <c r="BG636" s="55"/>
    </row>
    <row r="637" spans="57:59" x14ac:dyDescent="0.25">
      <c r="BE637" s="55"/>
      <c r="BF637" s="55"/>
      <c r="BG637" s="55"/>
    </row>
    <row r="638" spans="57:59" x14ac:dyDescent="0.25">
      <c r="BE638" s="55"/>
      <c r="BF638" s="55"/>
      <c r="BG638" s="55"/>
    </row>
    <row r="639" spans="57:59" x14ac:dyDescent="0.25">
      <c r="BE639" s="55"/>
      <c r="BF639" s="55"/>
      <c r="BG639" s="55"/>
    </row>
    <row r="640" spans="57:59" x14ac:dyDescent="0.25">
      <c r="BE640" s="55"/>
      <c r="BF640" s="55"/>
      <c r="BG640" s="55"/>
    </row>
    <row r="641" spans="57:59" x14ac:dyDescent="0.25">
      <c r="BE641" s="55"/>
      <c r="BF641" s="55"/>
      <c r="BG641" s="55"/>
    </row>
    <row r="642" spans="57:59" x14ac:dyDescent="0.25">
      <c r="BE642" s="55"/>
      <c r="BF642" s="55"/>
      <c r="BG642" s="55"/>
    </row>
    <row r="643" spans="57:59" x14ac:dyDescent="0.25">
      <c r="BE643" s="55"/>
      <c r="BF643" s="55"/>
      <c r="BG643" s="55"/>
    </row>
    <row r="644" spans="57:59" x14ac:dyDescent="0.25">
      <c r="BE644" s="55"/>
      <c r="BF644" s="55"/>
      <c r="BG644" s="55"/>
    </row>
    <row r="645" spans="57:59" x14ac:dyDescent="0.25">
      <c r="BE645" s="55"/>
      <c r="BF645" s="55"/>
      <c r="BG645" s="55"/>
    </row>
    <row r="646" spans="57:59" x14ac:dyDescent="0.25">
      <c r="BE646" s="55"/>
      <c r="BF646" s="55"/>
      <c r="BG646" s="55"/>
    </row>
    <row r="647" spans="57:59" x14ac:dyDescent="0.25">
      <c r="BE647" s="55"/>
      <c r="BF647" s="55"/>
      <c r="BG647" s="55"/>
    </row>
    <row r="648" spans="57:59" x14ac:dyDescent="0.25">
      <c r="BE648" s="55"/>
      <c r="BF648" s="55"/>
      <c r="BG648" s="55"/>
    </row>
    <row r="649" spans="57:59" x14ac:dyDescent="0.25">
      <c r="BE649" s="55"/>
      <c r="BF649" s="55"/>
      <c r="BG649" s="55"/>
    </row>
    <row r="650" spans="57:59" x14ac:dyDescent="0.25">
      <c r="BE650" s="55"/>
      <c r="BF650" s="55"/>
      <c r="BG650" s="55"/>
    </row>
    <row r="651" spans="57:59" x14ac:dyDescent="0.25">
      <c r="BE651" s="55"/>
      <c r="BF651" s="55"/>
      <c r="BG651" s="55"/>
    </row>
    <row r="652" spans="57:59" x14ac:dyDescent="0.25">
      <c r="BE652" s="55"/>
      <c r="BF652" s="55"/>
      <c r="BG652" s="55"/>
    </row>
    <row r="653" spans="57:59" x14ac:dyDescent="0.25">
      <c r="BE653" s="55"/>
      <c r="BF653" s="55"/>
      <c r="BG653" s="55"/>
    </row>
    <row r="654" spans="57:59" x14ac:dyDescent="0.25">
      <c r="BE654" s="55"/>
      <c r="BF654" s="55"/>
      <c r="BG654" s="55"/>
    </row>
    <row r="655" spans="57:59" x14ac:dyDescent="0.25">
      <c r="BE655" s="55"/>
      <c r="BF655" s="55"/>
      <c r="BG655" s="55"/>
    </row>
    <row r="656" spans="57:59" x14ac:dyDescent="0.25">
      <c r="BE656" s="55"/>
      <c r="BF656" s="55"/>
      <c r="BG656" s="55"/>
    </row>
    <row r="657" spans="57:59" x14ac:dyDescent="0.25">
      <c r="BE657" s="55"/>
      <c r="BF657" s="55"/>
      <c r="BG657" s="55"/>
    </row>
    <row r="658" spans="57:59" x14ac:dyDescent="0.25">
      <c r="BE658" s="55"/>
      <c r="BF658" s="55"/>
      <c r="BG658" s="55"/>
    </row>
    <row r="659" spans="57:59" x14ac:dyDescent="0.25">
      <c r="BE659" s="55"/>
      <c r="BF659" s="55"/>
      <c r="BG659" s="55"/>
    </row>
    <row r="660" spans="57:59" x14ac:dyDescent="0.25">
      <c r="BE660" s="55"/>
      <c r="BF660" s="55"/>
      <c r="BG660" s="55"/>
    </row>
    <row r="661" spans="57:59" x14ac:dyDescent="0.25">
      <c r="BE661" s="55"/>
      <c r="BF661" s="55"/>
      <c r="BG661" s="55"/>
    </row>
    <row r="662" spans="57:59" x14ac:dyDescent="0.25">
      <c r="BE662" s="55"/>
      <c r="BF662" s="55"/>
      <c r="BG662" s="55"/>
    </row>
    <row r="663" spans="57:59" x14ac:dyDescent="0.25">
      <c r="BE663" s="55"/>
      <c r="BF663" s="55"/>
      <c r="BG663" s="55"/>
    </row>
    <row r="664" spans="57:59" x14ac:dyDescent="0.25">
      <c r="BE664" s="55"/>
      <c r="BF664" s="55"/>
      <c r="BG664" s="55"/>
    </row>
    <row r="665" spans="57:59" x14ac:dyDescent="0.25">
      <c r="BE665" s="55"/>
      <c r="BF665" s="55"/>
      <c r="BG665" s="55"/>
    </row>
    <row r="666" spans="57:59" x14ac:dyDescent="0.25">
      <c r="BE666" s="55"/>
      <c r="BF666" s="55"/>
      <c r="BG666" s="55"/>
    </row>
    <row r="667" spans="57:59" x14ac:dyDescent="0.25">
      <c r="BE667" s="55"/>
      <c r="BF667" s="55"/>
      <c r="BG667" s="55"/>
    </row>
    <row r="668" spans="57:59" x14ac:dyDescent="0.25">
      <c r="BE668" s="55"/>
      <c r="BF668" s="55"/>
      <c r="BG668" s="55"/>
    </row>
    <row r="669" spans="57:59" x14ac:dyDescent="0.25">
      <c r="BE669" s="55"/>
      <c r="BF669" s="55"/>
      <c r="BG669" s="55"/>
    </row>
    <row r="670" spans="57:59" x14ac:dyDescent="0.25">
      <c r="BE670" s="55"/>
      <c r="BF670" s="55"/>
      <c r="BG670" s="55"/>
    </row>
    <row r="671" spans="57:59" x14ac:dyDescent="0.25">
      <c r="BE671" s="55"/>
      <c r="BF671" s="55"/>
      <c r="BG671" s="55"/>
    </row>
    <row r="672" spans="57:59" x14ac:dyDescent="0.25">
      <c r="BE672" s="55"/>
      <c r="BF672" s="55"/>
      <c r="BG672" s="55"/>
    </row>
    <row r="673" spans="57:59" x14ac:dyDescent="0.25">
      <c r="BE673" s="55"/>
      <c r="BF673" s="55"/>
      <c r="BG673" s="55"/>
    </row>
    <row r="674" spans="57:59" x14ac:dyDescent="0.25">
      <c r="BE674" s="55"/>
      <c r="BF674" s="55"/>
      <c r="BG674" s="55"/>
    </row>
    <row r="675" spans="57:59" x14ac:dyDescent="0.25">
      <c r="BE675" s="55"/>
      <c r="BF675" s="55"/>
      <c r="BG675" s="55"/>
    </row>
    <row r="676" spans="57:59" x14ac:dyDescent="0.25">
      <c r="BE676" s="55"/>
      <c r="BF676" s="55"/>
      <c r="BG676" s="55"/>
    </row>
    <row r="677" spans="57:59" x14ac:dyDescent="0.25">
      <c r="BE677" s="55"/>
      <c r="BF677" s="55"/>
      <c r="BG677" s="55"/>
    </row>
    <row r="678" spans="57:59" x14ac:dyDescent="0.25">
      <c r="BE678" s="55"/>
      <c r="BF678" s="55"/>
      <c r="BG678" s="55"/>
    </row>
    <row r="679" spans="57:59" x14ac:dyDescent="0.25">
      <c r="BE679" s="55"/>
      <c r="BF679" s="55"/>
      <c r="BG679" s="55"/>
    </row>
    <row r="680" spans="57:59" x14ac:dyDescent="0.25">
      <c r="BE680" s="55"/>
      <c r="BF680" s="55"/>
      <c r="BG680" s="55"/>
    </row>
    <row r="681" spans="57:59" x14ac:dyDescent="0.25">
      <c r="BE681" s="55"/>
      <c r="BF681" s="55"/>
      <c r="BG681" s="55"/>
    </row>
    <row r="682" spans="57:59" x14ac:dyDescent="0.25">
      <c r="BE682" s="55"/>
      <c r="BF682" s="55"/>
      <c r="BG682" s="55"/>
    </row>
    <row r="683" spans="57:59" x14ac:dyDescent="0.25">
      <c r="BE683" s="55"/>
      <c r="BF683" s="55"/>
      <c r="BG683" s="55"/>
    </row>
    <row r="684" spans="57:59" x14ac:dyDescent="0.25">
      <c r="BE684" s="55"/>
      <c r="BF684" s="55"/>
      <c r="BG684" s="55"/>
    </row>
    <row r="685" spans="57:59" x14ac:dyDescent="0.25">
      <c r="BE685" s="55"/>
      <c r="BF685" s="55"/>
      <c r="BG685" s="55"/>
    </row>
    <row r="686" spans="57:59" x14ac:dyDescent="0.25">
      <c r="BE686" s="55"/>
      <c r="BF686" s="55"/>
      <c r="BG686" s="55"/>
    </row>
    <row r="687" spans="57:59" x14ac:dyDescent="0.25">
      <c r="BE687" s="55"/>
      <c r="BF687" s="55"/>
      <c r="BG687" s="55"/>
    </row>
    <row r="688" spans="57:59" x14ac:dyDescent="0.25">
      <c r="BE688" s="55"/>
      <c r="BF688" s="55"/>
      <c r="BG688" s="55"/>
    </row>
    <row r="689" spans="57:59" x14ac:dyDescent="0.25">
      <c r="BE689" s="55"/>
      <c r="BF689" s="55"/>
      <c r="BG689" s="55"/>
    </row>
    <row r="690" spans="57:59" x14ac:dyDescent="0.25">
      <c r="BE690" s="55"/>
      <c r="BF690" s="55"/>
      <c r="BG690" s="55"/>
    </row>
    <row r="691" spans="57:59" x14ac:dyDescent="0.25">
      <c r="BE691" s="55"/>
      <c r="BF691" s="55"/>
      <c r="BG691" s="55"/>
    </row>
    <row r="692" spans="57:59" x14ac:dyDescent="0.25">
      <c r="BE692" s="55"/>
      <c r="BF692" s="55"/>
      <c r="BG692" s="55"/>
    </row>
    <row r="693" spans="57:59" x14ac:dyDescent="0.25">
      <c r="BE693" s="55"/>
      <c r="BF693" s="55"/>
      <c r="BG693" s="55"/>
    </row>
    <row r="694" spans="57:59" x14ac:dyDescent="0.25">
      <c r="BE694" s="55"/>
      <c r="BF694" s="55"/>
      <c r="BG694" s="55"/>
    </row>
    <row r="695" spans="57:59" x14ac:dyDescent="0.25">
      <c r="BE695" s="55"/>
      <c r="BF695" s="55"/>
      <c r="BG695" s="55"/>
    </row>
    <row r="696" spans="57:59" x14ac:dyDescent="0.25">
      <c r="BE696" s="55"/>
      <c r="BF696" s="55"/>
      <c r="BG696" s="55"/>
    </row>
    <row r="697" spans="57:59" x14ac:dyDescent="0.25">
      <c r="BE697" s="55"/>
      <c r="BF697" s="55"/>
      <c r="BG697" s="55"/>
    </row>
    <row r="698" spans="57:59" x14ac:dyDescent="0.25">
      <c r="BE698" s="55"/>
      <c r="BF698" s="55"/>
      <c r="BG698" s="55"/>
    </row>
    <row r="699" spans="57:59" x14ac:dyDescent="0.25">
      <c r="BE699" s="55"/>
      <c r="BF699" s="55"/>
      <c r="BG699" s="55"/>
    </row>
    <row r="700" spans="57:59" x14ac:dyDescent="0.25">
      <c r="BE700" s="55"/>
      <c r="BF700" s="55"/>
      <c r="BG700" s="55"/>
    </row>
    <row r="701" spans="57:59" x14ac:dyDescent="0.25">
      <c r="BE701" s="55"/>
      <c r="BF701" s="55"/>
      <c r="BG701" s="55"/>
    </row>
    <row r="702" spans="57:59" x14ac:dyDescent="0.25">
      <c r="BE702" s="55"/>
      <c r="BF702" s="55"/>
      <c r="BG702" s="55"/>
    </row>
    <row r="703" spans="57:59" x14ac:dyDescent="0.25">
      <c r="BE703" s="55"/>
      <c r="BF703" s="55"/>
      <c r="BG703" s="55"/>
    </row>
    <row r="704" spans="57:59" x14ac:dyDescent="0.25">
      <c r="BE704" s="55"/>
      <c r="BF704" s="55"/>
      <c r="BG704" s="55"/>
    </row>
    <row r="705" spans="57:59" x14ac:dyDescent="0.25">
      <c r="BE705" s="55"/>
      <c r="BF705" s="55"/>
      <c r="BG705" s="55"/>
    </row>
    <row r="706" spans="57:59" x14ac:dyDescent="0.25">
      <c r="BE706" s="55"/>
      <c r="BF706" s="55"/>
      <c r="BG706" s="55"/>
    </row>
    <row r="707" spans="57:59" x14ac:dyDescent="0.25">
      <c r="BE707" s="55"/>
      <c r="BF707" s="55"/>
      <c r="BG707" s="55"/>
    </row>
    <row r="708" spans="57:59" x14ac:dyDescent="0.25">
      <c r="BE708" s="55"/>
      <c r="BF708" s="55"/>
      <c r="BG708" s="55"/>
    </row>
    <row r="709" spans="57:59" x14ac:dyDescent="0.25">
      <c r="BE709" s="55"/>
      <c r="BF709" s="55"/>
      <c r="BG709" s="55"/>
    </row>
    <row r="710" spans="57:59" x14ac:dyDescent="0.25">
      <c r="BE710" s="55"/>
      <c r="BF710" s="55"/>
      <c r="BG710" s="55"/>
    </row>
    <row r="711" spans="57:59" x14ac:dyDescent="0.25">
      <c r="BE711" s="55"/>
      <c r="BF711" s="55"/>
      <c r="BG711" s="55"/>
    </row>
    <row r="712" spans="57:59" x14ac:dyDescent="0.25">
      <c r="BE712" s="55"/>
      <c r="BF712" s="55"/>
      <c r="BG712" s="55"/>
    </row>
    <row r="713" spans="57:59" x14ac:dyDescent="0.25">
      <c r="BE713" s="55"/>
      <c r="BF713" s="55"/>
      <c r="BG713" s="55"/>
    </row>
    <row r="714" spans="57:59" x14ac:dyDescent="0.25">
      <c r="BE714" s="55"/>
      <c r="BF714" s="55"/>
      <c r="BG714" s="55"/>
    </row>
    <row r="715" spans="57:59" x14ac:dyDescent="0.25">
      <c r="BE715" s="55"/>
      <c r="BF715" s="55"/>
      <c r="BG715" s="55"/>
    </row>
    <row r="716" spans="57:59" x14ac:dyDescent="0.25">
      <c r="BE716" s="55"/>
      <c r="BF716" s="55"/>
      <c r="BG716" s="55"/>
    </row>
    <row r="717" spans="57:59" x14ac:dyDescent="0.25">
      <c r="BE717" s="55"/>
      <c r="BF717" s="55"/>
      <c r="BG717" s="55"/>
    </row>
    <row r="718" spans="57:59" x14ac:dyDescent="0.25">
      <c r="BE718" s="55"/>
      <c r="BF718" s="55"/>
      <c r="BG718" s="55"/>
    </row>
    <row r="719" spans="57:59" x14ac:dyDescent="0.25">
      <c r="BE719" s="55"/>
      <c r="BF719" s="55"/>
      <c r="BG719" s="55"/>
    </row>
    <row r="720" spans="57:59" x14ac:dyDescent="0.25">
      <c r="BE720" s="55"/>
      <c r="BF720" s="55"/>
      <c r="BG720" s="55"/>
    </row>
    <row r="721" spans="57:59" x14ac:dyDescent="0.25">
      <c r="BE721" s="55"/>
      <c r="BF721" s="55"/>
      <c r="BG721" s="55"/>
    </row>
    <row r="722" spans="57:59" x14ac:dyDescent="0.25">
      <c r="BE722" s="55"/>
      <c r="BF722" s="55"/>
      <c r="BG722" s="55"/>
    </row>
    <row r="723" spans="57:59" x14ac:dyDescent="0.25">
      <c r="BE723" s="55"/>
      <c r="BF723" s="55"/>
      <c r="BG723" s="55"/>
    </row>
    <row r="724" spans="57:59" x14ac:dyDescent="0.25">
      <c r="BE724" s="55"/>
      <c r="BF724" s="55"/>
      <c r="BG724" s="55"/>
    </row>
    <row r="725" spans="57:59" x14ac:dyDescent="0.25">
      <c r="BE725" s="55"/>
      <c r="BF725" s="55"/>
      <c r="BG725" s="55"/>
    </row>
    <row r="726" spans="57:59" x14ac:dyDescent="0.25">
      <c r="BE726" s="55"/>
      <c r="BF726" s="55"/>
      <c r="BG726" s="55"/>
    </row>
    <row r="727" spans="57:59" x14ac:dyDescent="0.25">
      <c r="BE727" s="55"/>
      <c r="BF727" s="55"/>
      <c r="BG727" s="55"/>
    </row>
    <row r="728" spans="57:59" x14ac:dyDescent="0.25">
      <c r="BE728" s="55"/>
      <c r="BF728" s="55"/>
      <c r="BG728" s="55"/>
    </row>
    <row r="729" spans="57:59" x14ac:dyDescent="0.25">
      <c r="BE729" s="55"/>
      <c r="BF729" s="55"/>
      <c r="BG729" s="55"/>
    </row>
    <row r="730" spans="57:59" x14ac:dyDescent="0.25">
      <c r="BE730" s="55"/>
      <c r="BF730" s="55"/>
      <c r="BG730" s="55"/>
    </row>
    <row r="731" spans="57:59" x14ac:dyDescent="0.25">
      <c r="BE731" s="55"/>
      <c r="BF731" s="55"/>
      <c r="BG731" s="55"/>
    </row>
    <row r="732" spans="57:59" x14ac:dyDescent="0.25">
      <c r="BE732" s="55"/>
      <c r="BF732" s="55"/>
      <c r="BG732" s="55"/>
    </row>
    <row r="733" spans="57:59" x14ac:dyDescent="0.25">
      <c r="BE733" s="55"/>
      <c r="BF733" s="55"/>
      <c r="BG733" s="55"/>
    </row>
    <row r="734" spans="57:59" x14ac:dyDescent="0.25">
      <c r="BE734" s="55"/>
      <c r="BF734" s="55"/>
      <c r="BG734" s="55"/>
    </row>
    <row r="735" spans="57:59" x14ac:dyDescent="0.25">
      <c r="BE735" s="55"/>
      <c r="BF735" s="55"/>
      <c r="BG735" s="55"/>
    </row>
    <row r="736" spans="57:59" x14ac:dyDescent="0.25">
      <c r="BE736" s="55"/>
      <c r="BF736" s="55"/>
      <c r="BG736" s="55"/>
    </row>
    <row r="737" spans="57:59" x14ac:dyDescent="0.25">
      <c r="BE737" s="55"/>
      <c r="BF737" s="55"/>
      <c r="BG737" s="55"/>
    </row>
    <row r="738" spans="57:59" x14ac:dyDescent="0.25">
      <c r="BE738" s="55"/>
      <c r="BF738" s="55"/>
      <c r="BG738" s="55"/>
    </row>
    <row r="739" spans="57:59" x14ac:dyDescent="0.25">
      <c r="BE739" s="55"/>
      <c r="BF739" s="55"/>
      <c r="BG739" s="55"/>
    </row>
    <row r="740" spans="57:59" x14ac:dyDescent="0.25">
      <c r="BE740" s="55"/>
      <c r="BF740" s="55"/>
      <c r="BG740" s="55"/>
    </row>
    <row r="741" spans="57:59" x14ac:dyDescent="0.25">
      <c r="BE741" s="55"/>
      <c r="BF741" s="55"/>
      <c r="BG741" s="55"/>
    </row>
    <row r="742" spans="57:59" x14ac:dyDescent="0.25">
      <c r="BE742" s="55"/>
      <c r="BF742" s="55"/>
      <c r="BG742" s="55"/>
    </row>
    <row r="743" spans="57:59" x14ac:dyDescent="0.25">
      <c r="BE743" s="55"/>
      <c r="BF743" s="55"/>
      <c r="BG743" s="55"/>
    </row>
    <row r="744" spans="57:59" x14ac:dyDescent="0.25">
      <c r="BE744" s="55"/>
      <c r="BF744" s="55"/>
      <c r="BG744" s="55"/>
    </row>
    <row r="745" spans="57:59" x14ac:dyDescent="0.25">
      <c r="BE745" s="55"/>
      <c r="BF745" s="55"/>
      <c r="BG745" s="55"/>
    </row>
    <row r="746" spans="57:59" x14ac:dyDescent="0.25">
      <c r="BE746" s="55"/>
      <c r="BF746" s="55"/>
      <c r="BG746" s="55"/>
    </row>
    <row r="747" spans="57:59" x14ac:dyDescent="0.25">
      <c r="BE747" s="55"/>
      <c r="BF747" s="55"/>
      <c r="BG747" s="55"/>
    </row>
    <row r="748" spans="57:59" x14ac:dyDescent="0.25">
      <c r="BE748" s="55"/>
      <c r="BF748" s="55"/>
      <c r="BG748" s="55"/>
    </row>
    <row r="749" spans="57:59" x14ac:dyDescent="0.25">
      <c r="BE749" s="55"/>
      <c r="BF749" s="55"/>
      <c r="BG749" s="55"/>
    </row>
    <row r="750" spans="57:59" x14ac:dyDescent="0.25">
      <c r="BE750" s="55"/>
      <c r="BF750" s="55"/>
      <c r="BG750" s="55"/>
    </row>
    <row r="751" spans="57:59" x14ac:dyDescent="0.25">
      <c r="BE751" s="55"/>
      <c r="BF751" s="55"/>
      <c r="BG751" s="55"/>
    </row>
    <row r="752" spans="57:59" x14ac:dyDescent="0.25">
      <c r="BE752" s="55"/>
      <c r="BF752" s="55"/>
      <c r="BG752" s="55"/>
    </row>
    <row r="753" spans="57:59" x14ac:dyDescent="0.25">
      <c r="BE753" s="55"/>
      <c r="BF753" s="55"/>
      <c r="BG753" s="55"/>
    </row>
    <row r="754" spans="57:59" x14ac:dyDescent="0.25">
      <c r="BE754" s="55"/>
      <c r="BF754" s="55"/>
      <c r="BG754" s="55"/>
    </row>
    <row r="755" spans="57:59" x14ac:dyDescent="0.25">
      <c r="BE755" s="55"/>
      <c r="BF755" s="55"/>
      <c r="BG755" s="55"/>
    </row>
    <row r="756" spans="57:59" x14ac:dyDescent="0.25">
      <c r="BE756" s="55"/>
      <c r="BF756" s="55"/>
      <c r="BG756" s="55"/>
    </row>
    <row r="757" spans="57:59" x14ac:dyDescent="0.25">
      <c r="BE757" s="55"/>
      <c r="BF757" s="55"/>
      <c r="BG757" s="55"/>
    </row>
    <row r="758" spans="57:59" x14ac:dyDescent="0.25">
      <c r="BE758" s="55"/>
      <c r="BF758" s="55"/>
      <c r="BG758" s="55"/>
    </row>
    <row r="759" spans="57:59" x14ac:dyDescent="0.25">
      <c r="BE759" s="55"/>
      <c r="BF759" s="55"/>
      <c r="BG759" s="55"/>
    </row>
    <row r="760" spans="57:59" x14ac:dyDescent="0.25">
      <c r="BE760" s="55"/>
      <c r="BF760" s="55"/>
      <c r="BG760" s="55"/>
    </row>
    <row r="761" spans="57:59" x14ac:dyDescent="0.25">
      <c r="BE761" s="55"/>
      <c r="BF761" s="55"/>
      <c r="BG761" s="55"/>
    </row>
    <row r="762" spans="57:59" x14ac:dyDescent="0.25">
      <c r="BE762" s="55"/>
      <c r="BF762" s="55"/>
      <c r="BG762" s="55"/>
    </row>
    <row r="763" spans="57:59" x14ac:dyDescent="0.25">
      <c r="BE763" s="55"/>
      <c r="BF763" s="55"/>
      <c r="BG763" s="55"/>
    </row>
    <row r="764" spans="57:59" x14ac:dyDescent="0.25">
      <c r="BE764" s="55"/>
      <c r="BF764" s="55"/>
      <c r="BG764" s="55"/>
    </row>
    <row r="765" spans="57:59" x14ac:dyDescent="0.25">
      <c r="BE765" s="55"/>
      <c r="BF765" s="55"/>
      <c r="BG765" s="55"/>
    </row>
    <row r="766" spans="57:59" x14ac:dyDescent="0.25">
      <c r="BE766" s="55"/>
      <c r="BF766" s="55"/>
      <c r="BG766" s="55"/>
    </row>
    <row r="767" spans="57:59" x14ac:dyDescent="0.25">
      <c r="BE767" s="55"/>
      <c r="BF767" s="55"/>
      <c r="BG767" s="55"/>
    </row>
    <row r="768" spans="57:59" x14ac:dyDescent="0.25">
      <c r="BE768" s="55"/>
      <c r="BF768" s="55"/>
      <c r="BG768" s="55"/>
    </row>
    <row r="769" spans="57:59" x14ac:dyDescent="0.25">
      <c r="BE769" s="55"/>
      <c r="BF769" s="55"/>
      <c r="BG769" s="55"/>
    </row>
    <row r="770" spans="57:59" x14ac:dyDescent="0.25">
      <c r="BE770" s="55"/>
      <c r="BF770" s="55"/>
      <c r="BG770" s="55"/>
    </row>
    <row r="771" spans="57:59" x14ac:dyDescent="0.25">
      <c r="BE771" s="55"/>
      <c r="BF771" s="55"/>
      <c r="BG771" s="55"/>
    </row>
    <row r="772" spans="57:59" x14ac:dyDescent="0.25">
      <c r="BE772" s="55"/>
      <c r="BF772" s="55"/>
      <c r="BG772" s="55"/>
    </row>
    <row r="773" spans="57:59" x14ac:dyDescent="0.25">
      <c r="BE773" s="55"/>
      <c r="BF773" s="55"/>
      <c r="BG773" s="55"/>
    </row>
    <row r="774" spans="57:59" x14ac:dyDescent="0.25">
      <c r="BE774" s="55"/>
      <c r="BF774" s="55"/>
      <c r="BG774" s="55"/>
    </row>
    <row r="775" spans="57:59" x14ac:dyDescent="0.25">
      <c r="BE775" s="55"/>
      <c r="BF775" s="55"/>
      <c r="BG775" s="55"/>
    </row>
    <row r="776" spans="57:59" x14ac:dyDescent="0.25">
      <c r="BE776" s="55"/>
      <c r="BF776" s="55"/>
      <c r="BG776" s="55"/>
    </row>
    <row r="777" spans="57:59" x14ac:dyDescent="0.25">
      <c r="BE777" s="55"/>
      <c r="BF777" s="55"/>
      <c r="BG777" s="55"/>
    </row>
    <row r="778" spans="57:59" x14ac:dyDescent="0.25">
      <c r="BE778" s="55"/>
      <c r="BF778" s="55"/>
      <c r="BG778" s="55"/>
    </row>
    <row r="779" spans="57:59" x14ac:dyDescent="0.25">
      <c r="BE779" s="55"/>
      <c r="BF779" s="55"/>
      <c r="BG779" s="55"/>
    </row>
    <row r="780" spans="57:59" x14ac:dyDescent="0.25">
      <c r="BE780" s="55"/>
      <c r="BF780" s="55"/>
      <c r="BG780" s="55"/>
    </row>
    <row r="781" spans="57:59" x14ac:dyDescent="0.25">
      <c r="BE781" s="55"/>
      <c r="BF781" s="55"/>
      <c r="BG781" s="55"/>
    </row>
    <row r="782" spans="57:59" x14ac:dyDescent="0.25">
      <c r="BE782" s="55"/>
      <c r="BF782" s="55"/>
      <c r="BG782" s="55"/>
    </row>
    <row r="783" spans="57:59" x14ac:dyDescent="0.25">
      <c r="BE783" s="55"/>
      <c r="BF783" s="55"/>
      <c r="BG783" s="55"/>
    </row>
    <row r="784" spans="57:59" x14ac:dyDescent="0.25">
      <c r="BE784" s="55"/>
      <c r="BF784" s="55"/>
      <c r="BG784" s="55"/>
    </row>
    <row r="785" spans="57:59" x14ac:dyDescent="0.25">
      <c r="BE785" s="55"/>
      <c r="BF785" s="55"/>
      <c r="BG785" s="55"/>
    </row>
    <row r="786" spans="57:59" x14ac:dyDescent="0.25">
      <c r="BE786" s="55"/>
      <c r="BF786" s="55"/>
      <c r="BG786" s="55"/>
    </row>
    <row r="787" spans="57:59" x14ac:dyDescent="0.25">
      <c r="BE787" s="55"/>
      <c r="BF787" s="55"/>
      <c r="BG787" s="55"/>
    </row>
    <row r="788" spans="57:59" x14ac:dyDescent="0.25">
      <c r="BE788" s="55"/>
      <c r="BF788" s="55"/>
      <c r="BG788" s="55"/>
    </row>
    <row r="789" spans="57:59" x14ac:dyDescent="0.25">
      <c r="BE789" s="55"/>
      <c r="BF789" s="55"/>
      <c r="BG789" s="55"/>
    </row>
    <row r="790" spans="57:59" x14ac:dyDescent="0.25">
      <c r="BE790" s="55"/>
      <c r="BF790" s="55"/>
      <c r="BG790" s="55"/>
    </row>
    <row r="791" spans="57:59" x14ac:dyDescent="0.25">
      <c r="BE791" s="55"/>
      <c r="BF791" s="55"/>
      <c r="BG791" s="55"/>
    </row>
    <row r="792" spans="57:59" x14ac:dyDescent="0.25">
      <c r="BE792" s="55"/>
      <c r="BF792" s="55"/>
      <c r="BG792" s="55"/>
    </row>
    <row r="793" spans="57:59" x14ac:dyDescent="0.25">
      <c r="BE793" s="55"/>
      <c r="BF793" s="55"/>
      <c r="BG793" s="55"/>
    </row>
    <row r="794" spans="57:59" x14ac:dyDescent="0.25">
      <c r="BE794" s="55"/>
      <c r="BF794" s="55"/>
      <c r="BG794" s="55"/>
    </row>
    <row r="795" spans="57:59" x14ac:dyDescent="0.25">
      <c r="BE795" s="55"/>
      <c r="BF795" s="55"/>
      <c r="BG795" s="55"/>
    </row>
    <row r="796" spans="57:59" x14ac:dyDescent="0.25">
      <c r="BE796" s="55"/>
      <c r="BF796" s="55"/>
      <c r="BG796" s="55"/>
    </row>
    <row r="797" spans="57:59" x14ac:dyDescent="0.25">
      <c r="BE797" s="55"/>
      <c r="BF797" s="55"/>
      <c r="BG797" s="55"/>
    </row>
    <row r="798" spans="57:59" x14ac:dyDescent="0.25">
      <c r="BE798" s="55"/>
      <c r="BF798" s="55"/>
      <c r="BG798" s="55"/>
    </row>
    <row r="799" spans="57:59" x14ac:dyDescent="0.25">
      <c r="BE799" s="55"/>
      <c r="BF799" s="55"/>
      <c r="BG799" s="55"/>
    </row>
    <row r="800" spans="57:59" x14ac:dyDescent="0.25">
      <c r="BE800" s="55"/>
      <c r="BF800" s="55"/>
      <c r="BG800" s="55"/>
    </row>
    <row r="801" spans="57:59" x14ac:dyDescent="0.25">
      <c r="BE801" s="55"/>
      <c r="BF801" s="55"/>
      <c r="BG801" s="55"/>
    </row>
    <row r="802" spans="57:59" x14ac:dyDescent="0.25">
      <c r="BE802" s="55"/>
      <c r="BF802" s="55"/>
      <c r="BG802" s="55"/>
    </row>
    <row r="803" spans="57:59" x14ac:dyDescent="0.25">
      <c r="BE803" s="55"/>
      <c r="BF803" s="55"/>
      <c r="BG803" s="55"/>
    </row>
    <row r="804" spans="57:59" x14ac:dyDescent="0.25">
      <c r="BE804" s="55"/>
      <c r="BF804" s="55"/>
      <c r="BG804" s="55"/>
    </row>
    <row r="805" spans="57:59" x14ac:dyDescent="0.25">
      <c r="BE805" s="55"/>
      <c r="BF805" s="55"/>
      <c r="BG805" s="55"/>
    </row>
    <row r="806" spans="57:59" x14ac:dyDescent="0.25">
      <c r="BE806" s="55"/>
      <c r="BF806" s="55"/>
      <c r="BG806" s="55"/>
    </row>
    <row r="807" spans="57:59" x14ac:dyDescent="0.25">
      <c r="BE807" s="55"/>
      <c r="BF807" s="55"/>
      <c r="BG807" s="55"/>
    </row>
    <row r="808" spans="57:59" x14ac:dyDescent="0.25">
      <c r="BE808" s="55"/>
      <c r="BF808" s="55"/>
      <c r="BG808" s="55"/>
    </row>
    <row r="809" spans="57:59" x14ac:dyDescent="0.25">
      <c r="BE809" s="55"/>
      <c r="BF809" s="55"/>
      <c r="BG809" s="55"/>
    </row>
    <row r="810" spans="57:59" x14ac:dyDescent="0.25">
      <c r="BE810" s="55"/>
      <c r="BF810" s="55"/>
      <c r="BG810" s="55"/>
    </row>
    <row r="811" spans="57:59" x14ac:dyDescent="0.25">
      <c r="BE811" s="55"/>
      <c r="BF811" s="55"/>
      <c r="BG811" s="55"/>
    </row>
    <row r="812" spans="57:59" x14ac:dyDescent="0.25">
      <c r="BE812" s="55"/>
      <c r="BF812" s="55"/>
      <c r="BG812" s="55"/>
    </row>
    <row r="813" spans="57:59" x14ac:dyDescent="0.25">
      <c r="BE813" s="55"/>
      <c r="BF813" s="55"/>
      <c r="BG813" s="55"/>
    </row>
    <row r="814" spans="57:59" x14ac:dyDescent="0.25">
      <c r="BE814" s="55"/>
      <c r="BF814" s="55"/>
      <c r="BG814" s="55"/>
    </row>
    <row r="815" spans="57:59" x14ac:dyDescent="0.25">
      <c r="BE815" s="55"/>
      <c r="BF815" s="55"/>
      <c r="BG815" s="55"/>
    </row>
    <row r="816" spans="57:59" x14ac:dyDescent="0.25">
      <c r="BE816" s="55"/>
      <c r="BF816" s="55"/>
      <c r="BG816" s="55"/>
    </row>
    <row r="817" spans="57:59" x14ac:dyDescent="0.25">
      <c r="BE817" s="55"/>
      <c r="BF817" s="55"/>
      <c r="BG817" s="55"/>
    </row>
    <row r="818" spans="57:59" x14ac:dyDescent="0.25">
      <c r="BE818" s="55"/>
      <c r="BF818" s="55"/>
      <c r="BG818" s="55"/>
    </row>
    <row r="819" spans="57:59" x14ac:dyDescent="0.25">
      <c r="BE819" s="55"/>
      <c r="BF819" s="55"/>
      <c r="BG819" s="55"/>
    </row>
    <row r="820" spans="57:59" x14ac:dyDescent="0.25">
      <c r="BE820" s="55"/>
      <c r="BF820" s="55"/>
      <c r="BG820" s="55"/>
    </row>
    <row r="821" spans="57:59" x14ac:dyDescent="0.25">
      <c r="BE821" s="55"/>
      <c r="BF821" s="55"/>
      <c r="BG821" s="55"/>
    </row>
    <row r="822" spans="57:59" x14ac:dyDescent="0.25">
      <c r="BE822" s="55"/>
      <c r="BF822" s="55"/>
      <c r="BG822" s="55"/>
    </row>
    <row r="823" spans="57:59" x14ac:dyDescent="0.25">
      <c r="BE823" s="55"/>
      <c r="BF823" s="55"/>
      <c r="BG823" s="55"/>
    </row>
    <row r="824" spans="57:59" x14ac:dyDescent="0.25">
      <c r="BE824" s="55"/>
      <c r="BF824" s="55"/>
      <c r="BG824" s="55"/>
    </row>
    <row r="825" spans="57:59" x14ac:dyDescent="0.25">
      <c r="BE825" s="55"/>
      <c r="BF825" s="55"/>
      <c r="BG825" s="55"/>
    </row>
    <row r="826" spans="57:59" x14ac:dyDescent="0.25">
      <c r="BE826" s="55"/>
      <c r="BF826" s="55"/>
      <c r="BG826" s="55"/>
    </row>
    <row r="827" spans="57:59" x14ac:dyDescent="0.25">
      <c r="BE827" s="55"/>
      <c r="BF827" s="55"/>
      <c r="BG827" s="55"/>
    </row>
    <row r="828" spans="57:59" x14ac:dyDescent="0.25">
      <c r="BE828" s="55"/>
      <c r="BF828" s="55"/>
      <c r="BG828" s="55"/>
    </row>
    <row r="829" spans="57:59" x14ac:dyDescent="0.25">
      <c r="BE829" s="55"/>
      <c r="BF829" s="55"/>
      <c r="BG829" s="55"/>
    </row>
    <row r="830" spans="57:59" x14ac:dyDescent="0.25">
      <c r="BE830" s="55"/>
      <c r="BF830" s="55"/>
      <c r="BG830" s="55"/>
    </row>
    <row r="831" spans="57:59" x14ac:dyDescent="0.25">
      <c r="BE831" s="55"/>
      <c r="BF831" s="55"/>
      <c r="BG831" s="55"/>
    </row>
    <row r="832" spans="57:59" x14ac:dyDescent="0.25">
      <c r="BE832" s="55"/>
      <c r="BF832" s="55"/>
      <c r="BG832" s="55"/>
    </row>
    <row r="833" spans="57:59" x14ac:dyDescent="0.25">
      <c r="BE833" s="55"/>
      <c r="BF833" s="55"/>
      <c r="BG833" s="55"/>
    </row>
    <row r="834" spans="57:59" x14ac:dyDescent="0.25">
      <c r="BE834" s="55"/>
      <c r="BF834" s="55"/>
      <c r="BG834" s="55"/>
    </row>
    <row r="835" spans="57:59" x14ac:dyDescent="0.25">
      <c r="BE835" s="55"/>
      <c r="BF835" s="55"/>
      <c r="BG835" s="55"/>
    </row>
    <row r="836" spans="57:59" x14ac:dyDescent="0.25">
      <c r="BE836" s="55"/>
      <c r="BF836" s="55"/>
      <c r="BG836" s="55"/>
    </row>
    <row r="837" spans="57:59" x14ac:dyDescent="0.25">
      <c r="BE837" s="55"/>
      <c r="BF837" s="55"/>
      <c r="BG837" s="55"/>
    </row>
    <row r="838" spans="57:59" x14ac:dyDescent="0.25">
      <c r="BE838" s="55"/>
      <c r="BF838" s="55"/>
      <c r="BG838" s="55"/>
    </row>
    <row r="839" spans="57:59" x14ac:dyDescent="0.25">
      <c r="BE839" s="55"/>
      <c r="BF839" s="55"/>
      <c r="BG839" s="55"/>
    </row>
    <row r="840" spans="57:59" x14ac:dyDescent="0.25">
      <c r="BE840" s="55"/>
      <c r="BF840" s="55"/>
      <c r="BG840" s="55"/>
    </row>
    <row r="841" spans="57:59" x14ac:dyDescent="0.25">
      <c r="BE841" s="55"/>
      <c r="BF841" s="55"/>
      <c r="BG841" s="55"/>
    </row>
    <row r="842" spans="57:59" x14ac:dyDescent="0.25">
      <c r="BE842" s="55"/>
      <c r="BF842" s="55"/>
      <c r="BG842" s="55"/>
    </row>
    <row r="843" spans="57:59" x14ac:dyDescent="0.25">
      <c r="BE843" s="55"/>
      <c r="BF843" s="55"/>
      <c r="BG843" s="55"/>
    </row>
    <row r="844" spans="57:59" x14ac:dyDescent="0.25">
      <c r="BE844" s="55"/>
      <c r="BF844" s="55"/>
      <c r="BG844" s="55"/>
    </row>
    <row r="845" spans="57:59" x14ac:dyDescent="0.25">
      <c r="BE845" s="55"/>
      <c r="BF845" s="55"/>
      <c r="BG845" s="55"/>
    </row>
    <row r="846" spans="57:59" x14ac:dyDescent="0.25">
      <c r="BE846" s="55"/>
      <c r="BF846" s="55"/>
      <c r="BG846" s="55"/>
    </row>
    <row r="847" spans="57:59" x14ac:dyDescent="0.25">
      <c r="BE847" s="55"/>
      <c r="BF847" s="55"/>
      <c r="BG847" s="55"/>
    </row>
    <row r="848" spans="57:59" x14ac:dyDescent="0.25">
      <c r="BE848" s="55"/>
      <c r="BF848" s="55"/>
      <c r="BG848" s="55"/>
    </row>
    <row r="849" spans="57:59" x14ac:dyDescent="0.25">
      <c r="BE849" s="55"/>
      <c r="BF849" s="55"/>
      <c r="BG849" s="55"/>
    </row>
    <row r="850" spans="57:59" x14ac:dyDescent="0.25">
      <c r="BE850" s="55"/>
      <c r="BF850" s="55"/>
      <c r="BG850" s="55"/>
    </row>
    <row r="851" spans="57:59" x14ac:dyDescent="0.25">
      <c r="BE851" s="55"/>
      <c r="BF851" s="55"/>
      <c r="BG851" s="55"/>
    </row>
    <row r="852" spans="57:59" x14ac:dyDescent="0.25">
      <c r="BE852" s="55"/>
      <c r="BF852" s="55"/>
      <c r="BG852" s="55"/>
    </row>
    <row r="853" spans="57:59" x14ac:dyDescent="0.25">
      <c r="BE853" s="55"/>
      <c r="BF853" s="55"/>
      <c r="BG853" s="55"/>
    </row>
    <row r="854" spans="57:59" x14ac:dyDescent="0.25">
      <c r="BE854" s="55"/>
      <c r="BF854" s="55"/>
      <c r="BG854" s="55"/>
    </row>
    <row r="855" spans="57:59" x14ac:dyDescent="0.25">
      <c r="BE855" s="55"/>
      <c r="BF855" s="55"/>
      <c r="BG855" s="55"/>
    </row>
    <row r="856" spans="57:59" x14ac:dyDescent="0.25">
      <c r="BE856" s="55"/>
      <c r="BF856" s="55"/>
      <c r="BG856" s="55"/>
    </row>
    <row r="857" spans="57:59" x14ac:dyDescent="0.25">
      <c r="BE857" s="55"/>
      <c r="BF857" s="55"/>
      <c r="BG857" s="55"/>
    </row>
    <row r="858" spans="57:59" x14ac:dyDescent="0.25">
      <c r="BE858" s="55"/>
      <c r="BF858" s="55"/>
      <c r="BG858" s="55"/>
    </row>
    <row r="859" spans="57:59" x14ac:dyDescent="0.25">
      <c r="BE859" s="55"/>
      <c r="BF859" s="55"/>
      <c r="BG859" s="55"/>
    </row>
    <row r="860" spans="57:59" x14ac:dyDescent="0.25">
      <c r="BE860" s="55"/>
      <c r="BF860" s="55"/>
      <c r="BG860" s="55"/>
    </row>
    <row r="861" spans="57:59" x14ac:dyDescent="0.25">
      <c r="BE861" s="55"/>
      <c r="BF861" s="55"/>
      <c r="BG861" s="55"/>
    </row>
    <row r="862" spans="57:59" x14ac:dyDescent="0.25">
      <c r="BE862" s="55"/>
      <c r="BF862" s="55"/>
      <c r="BG862" s="55"/>
    </row>
    <row r="863" spans="57:59" x14ac:dyDescent="0.25">
      <c r="BE863" s="55"/>
      <c r="BF863" s="55"/>
      <c r="BG863" s="55"/>
    </row>
    <row r="864" spans="57:59" x14ac:dyDescent="0.25">
      <c r="BE864" s="55"/>
      <c r="BF864" s="55"/>
      <c r="BG864" s="55"/>
    </row>
    <row r="865" spans="57:59" x14ac:dyDescent="0.25">
      <c r="BE865" s="55"/>
      <c r="BF865" s="55"/>
      <c r="BG865" s="55"/>
    </row>
    <row r="866" spans="57:59" x14ac:dyDescent="0.25">
      <c r="BE866" s="55"/>
      <c r="BF866" s="55"/>
      <c r="BG866" s="55"/>
    </row>
    <row r="867" spans="57:59" x14ac:dyDescent="0.25">
      <c r="BE867" s="55"/>
      <c r="BF867" s="55"/>
      <c r="BG867" s="55"/>
    </row>
    <row r="868" spans="57:59" x14ac:dyDescent="0.25">
      <c r="BE868" s="55"/>
      <c r="BF868" s="55"/>
      <c r="BG868" s="55"/>
    </row>
    <row r="869" spans="57:59" x14ac:dyDescent="0.25">
      <c r="BE869" s="55"/>
      <c r="BF869" s="55"/>
      <c r="BG869" s="55"/>
    </row>
    <row r="870" spans="57:59" x14ac:dyDescent="0.25">
      <c r="BE870" s="55"/>
      <c r="BF870" s="55"/>
      <c r="BG870" s="55"/>
    </row>
    <row r="871" spans="57:59" x14ac:dyDescent="0.25">
      <c r="BE871" s="55"/>
      <c r="BF871" s="55"/>
      <c r="BG871" s="55"/>
    </row>
    <row r="872" spans="57:59" x14ac:dyDescent="0.25">
      <c r="BE872" s="55"/>
      <c r="BF872" s="55"/>
      <c r="BG872" s="55"/>
    </row>
    <row r="873" spans="57:59" x14ac:dyDescent="0.25">
      <c r="BE873" s="55"/>
      <c r="BF873" s="55"/>
      <c r="BG873" s="55"/>
    </row>
    <row r="874" spans="57:59" x14ac:dyDescent="0.25">
      <c r="BE874" s="55"/>
      <c r="BF874" s="55"/>
      <c r="BG874" s="55"/>
    </row>
    <row r="875" spans="57:59" x14ac:dyDescent="0.25">
      <c r="BE875" s="55"/>
      <c r="BF875" s="55"/>
      <c r="BG875" s="55"/>
    </row>
    <row r="876" spans="57:59" x14ac:dyDescent="0.25">
      <c r="BE876" s="55"/>
      <c r="BF876" s="55"/>
      <c r="BG876" s="55"/>
    </row>
    <row r="877" spans="57:59" x14ac:dyDescent="0.25">
      <c r="BE877" s="55"/>
      <c r="BF877" s="55"/>
      <c r="BG877" s="55"/>
    </row>
    <row r="878" spans="57:59" x14ac:dyDescent="0.25">
      <c r="BE878" s="55"/>
      <c r="BF878" s="55"/>
      <c r="BG878" s="55"/>
    </row>
    <row r="879" spans="57:59" x14ac:dyDescent="0.25">
      <c r="BE879" s="55"/>
      <c r="BF879" s="55"/>
      <c r="BG879" s="55"/>
    </row>
    <row r="880" spans="57:59" x14ac:dyDescent="0.25">
      <c r="BE880" s="55"/>
      <c r="BF880" s="55"/>
      <c r="BG880" s="55"/>
    </row>
    <row r="881" spans="57:59" x14ac:dyDescent="0.25">
      <c r="BE881" s="55"/>
      <c r="BF881" s="55"/>
      <c r="BG881" s="55"/>
    </row>
    <row r="882" spans="57:59" x14ac:dyDescent="0.25">
      <c r="BE882" s="55"/>
      <c r="BF882" s="55"/>
      <c r="BG882" s="55"/>
    </row>
    <row r="883" spans="57:59" x14ac:dyDescent="0.25">
      <c r="BE883" s="55"/>
      <c r="BF883" s="55"/>
      <c r="BG883" s="55"/>
    </row>
    <row r="884" spans="57:59" x14ac:dyDescent="0.25">
      <c r="BE884" s="55"/>
      <c r="BF884" s="55"/>
      <c r="BG884" s="55"/>
    </row>
    <row r="885" spans="57:59" x14ac:dyDescent="0.25">
      <c r="BE885" s="55"/>
      <c r="BF885" s="55"/>
      <c r="BG885" s="55"/>
    </row>
    <row r="886" spans="57:59" x14ac:dyDescent="0.25">
      <c r="BE886" s="55"/>
      <c r="BF886" s="55"/>
      <c r="BG886" s="55"/>
    </row>
    <row r="887" spans="57:59" x14ac:dyDescent="0.25">
      <c r="BE887" s="55"/>
      <c r="BF887" s="55"/>
      <c r="BG887" s="55"/>
    </row>
    <row r="888" spans="57:59" x14ac:dyDescent="0.25">
      <c r="BE888" s="55"/>
      <c r="BF888" s="55"/>
      <c r="BG888" s="55"/>
    </row>
    <row r="889" spans="57:59" x14ac:dyDescent="0.25">
      <c r="BE889" s="55"/>
      <c r="BF889" s="55"/>
      <c r="BG889" s="55"/>
    </row>
    <row r="890" spans="57:59" x14ac:dyDescent="0.25">
      <c r="BE890" s="55"/>
      <c r="BF890" s="55"/>
      <c r="BG890" s="55"/>
    </row>
    <row r="891" spans="57:59" x14ac:dyDescent="0.25">
      <c r="BE891" s="55"/>
      <c r="BF891" s="55"/>
      <c r="BG891" s="55"/>
    </row>
    <row r="892" spans="57:59" x14ac:dyDescent="0.25">
      <c r="BE892" s="55"/>
      <c r="BF892" s="55"/>
      <c r="BG892" s="55"/>
    </row>
    <row r="893" spans="57:59" x14ac:dyDescent="0.25">
      <c r="BE893" s="55"/>
      <c r="BF893" s="55"/>
      <c r="BG893" s="55"/>
    </row>
    <row r="894" spans="57:59" x14ac:dyDescent="0.25">
      <c r="BE894" s="55"/>
      <c r="BF894" s="55"/>
      <c r="BG894" s="55"/>
    </row>
    <row r="895" spans="57:59" x14ac:dyDescent="0.25">
      <c r="BE895" s="55"/>
      <c r="BF895" s="55"/>
      <c r="BG895" s="55"/>
    </row>
    <row r="896" spans="57:59" x14ac:dyDescent="0.25">
      <c r="BE896" s="55"/>
      <c r="BF896" s="55"/>
      <c r="BG896" s="55"/>
    </row>
    <row r="897" spans="57:59" x14ac:dyDescent="0.25">
      <c r="BE897" s="55"/>
      <c r="BF897" s="55"/>
      <c r="BG897" s="55"/>
    </row>
    <row r="898" spans="57:59" x14ac:dyDescent="0.25">
      <c r="BE898" s="55"/>
      <c r="BF898" s="55"/>
      <c r="BG898" s="55"/>
    </row>
    <row r="899" spans="57:59" x14ac:dyDescent="0.25">
      <c r="BE899" s="55"/>
      <c r="BF899" s="55"/>
      <c r="BG899" s="55"/>
    </row>
    <row r="900" spans="57:59" x14ac:dyDescent="0.25">
      <c r="BE900" s="55"/>
      <c r="BF900" s="55"/>
      <c r="BG900" s="55"/>
    </row>
    <row r="901" spans="57:59" x14ac:dyDescent="0.25">
      <c r="BE901" s="55"/>
      <c r="BF901" s="55"/>
      <c r="BG901" s="55"/>
    </row>
    <row r="902" spans="57:59" x14ac:dyDescent="0.25">
      <c r="BE902" s="55"/>
      <c r="BF902" s="55"/>
      <c r="BG902" s="55"/>
    </row>
    <row r="903" spans="57:59" x14ac:dyDescent="0.25">
      <c r="BE903" s="55"/>
      <c r="BF903" s="55"/>
      <c r="BG903" s="55"/>
    </row>
    <row r="904" spans="57:59" x14ac:dyDescent="0.25">
      <c r="BE904" s="55"/>
      <c r="BF904" s="55"/>
      <c r="BG904" s="55"/>
    </row>
    <row r="905" spans="57:59" x14ac:dyDescent="0.25">
      <c r="BE905" s="55"/>
      <c r="BF905" s="55"/>
      <c r="BG905" s="55"/>
    </row>
    <row r="906" spans="57:59" x14ac:dyDescent="0.25">
      <c r="BE906" s="55"/>
      <c r="BF906" s="55"/>
      <c r="BG906" s="55"/>
    </row>
    <row r="907" spans="57:59" x14ac:dyDescent="0.25">
      <c r="BE907" s="55"/>
      <c r="BF907" s="55"/>
      <c r="BG907" s="55"/>
    </row>
    <row r="908" spans="57:59" x14ac:dyDescent="0.25">
      <c r="BE908" s="55"/>
      <c r="BF908" s="55"/>
      <c r="BG908" s="55"/>
    </row>
    <row r="909" spans="57:59" x14ac:dyDescent="0.25">
      <c r="BE909" s="55"/>
      <c r="BF909" s="55"/>
      <c r="BG909" s="55"/>
    </row>
    <row r="910" spans="57:59" x14ac:dyDescent="0.25">
      <c r="BE910" s="55"/>
      <c r="BF910" s="55"/>
      <c r="BG910" s="55"/>
    </row>
    <row r="911" spans="57:59" x14ac:dyDescent="0.25">
      <c r="BE911" s="55"/>
      <c r="BF911" s="55"/>
      <c r="BG911" s="55"/>
    </row>
    <row r="912" spans="57:59" x14ac:dyDescent="0.25">
      <c r="BE912" s="55"/>
      <c r="BF912" s="55"/>
      <c r="BG912" s="55"/>
    </row>
    <row r="913" spans="57:59" x14ac:dyDescent="0.25">
      <c r="BE913" s="55"/>
      <c r="BF913" s="55"/>
      <c r="BG913" s="55"/>
    </row>
    <row r="914" spans="57:59" x14ac:dyDescent="0.25">
      <c r="BE914" s="55"/>
      <c r="BF914" s="55"/>
      <c r="BG914" s="55"/>
    </row>
    <row r="915" spans="57:59" x14ac:dyDescent="0.25">
      <c r="BE915" s="55"/>
      <c r="BF915" s="55"/>
      <c r="BG915" s="55"/>
    </row>
    <row r="916" spans="57:59" x14ac:dyDescent="0.25">
      <c r="BE916" s="55"/>
      <c r="BF916" s="55"/>
      <c r="BG916" s="55"/>
    </row>
    <row r="917" spans="57:59" x14ac:dyDescent="0.25">
      <c r="BE917" s="55"/>
      <c r="BF917" s="55"/>
      <c r="BG917" s="55"/>
    </row>
    <row r="918" spans="57:59" x14ac:dyDescent="0.25">
      <c r="BE918" s="55"/>
      <c r="BF918" s="55"/>
      <c r="BG918" s="55"/>
    </row>
    <row r="919" spans="57:59" x14ac:dyDescent="0.25">
      <c r="BE919" s="55"/>
      <c r="BF919" s="55"/>
      <c r="BG919" s="55"/>
    </row>
    <row r="920" spans="57:59" x14ac:dyDescent="0.25">
      <c r="BE920" s="55"/>
      <c r="BF920" s="55"/>
      <c r="BG920" s="55"/>
    </row>
    <row r="921" spans="57:59" x14ac:dyDescent="0.25">
      <c r="BE921" s="55"/>
      <c r="BF921" s="55"/>
      <c r="BG921" s="55"/>
    </row>
    <row r="922" spans="57:59" x14ac:dyDescent="0.25">
      <c r="BE922" s="55"/>
      <c r="BF922" s="55"/>
      <c r="BG922" s="55"/>
    </row>
    <row r="923" spans="57:59" x14ac:dyDescent="0.25">
      <c r="BE923" s="55"/>
      <c r="BF923" s="55"/>
      <c r="BG923" s="55"/>
    </row>
    <row r="924" spans="57:59" x14ac:dyDescent="0.25">
      <c r="BE924" s="55"/>
      <c r="BF924" s="55"/>
      <c r="BG924" s="55"/>
    </row>
    <row r="925" spans="57:59" x14ac:dyDescent="0.25">
      <c r="BE925" s="55"/>
      <c r="BF925" s="55"/>
      <c r="BG925" s="55"/>
    </row>
    <row r="926" spans="57:59" x14ac:dyDescent="0.25">
      <c r="BE926" s="55"/>
      <c r="BF926" s="55"/>
      <c r="BG926" s="55"/>
    </row>
    <row r="927" spans="57:59" x14ac:dyDescent="0.25">
      <c r="BE927" s="55"/>
      <c r="BF927" s="55"/>
      <c r="BG927" s="55"/>
    </row>
    <row r="928" spans="57:59" x14ac:dyDescent="0.25">
      <c r="BE928" s="55"/>
      <c r="BF928" s="55"/>
      <c r="BG928" s="55"/>
    </row>
    <row r="929" spans="57:59" x14ac:dyDescent="0.25">
      <c r="BE929" s="55"/>
      <c r="BF929" s="55"/>
      <c r="BG929" s="55"/>
    </row>
    <row r="930" spans="57:59" x14ac:dyDescent="0.25">
      <c r="BE930" s="55"/>
      <c r="BF930" s="55"/>
      <c r="BG930" s="55"/>
    </row>
    <row r="931" spans="57:59" x14ac:dyDescent="0.25">
      <c r="BE931" s="55"/>
      <c r="BF931" s="55"/>
      <c r="BG931" s="55"/>
    </row>
    <row r="932" spans="57:59" x14ac:dyDescent="0.25">
      <c r="BE932" s="55"/>
      <c r="BF932" s="55"/>
      <c r="BG932" s="55"/>
    </row>
    <row r="933" spans="57:59" x14ac:dyDescent="0.25">
      <c r="BE933" s="55"/>
      <c r="BF933" s="55"/>
      <c r="BG933" s="55"/>
    </row>
    <row r="934" spans="57:59" x14ac:dyDescent="0.25">
      <c r="BE934" s="55"/>
      <c r="BF934" s="55"/>
      <c r="BG934" s="55"/>
    </row>
    <row r="935" spans="57:59" x14ac:dyDescent="0.25">
      <c r="BE935" s="55"/>
      <c r="BF935" s="55"/>
      <c r="BG935" s="55"/>
    </row>
    <row r="936" spans="57:59" x14ac:dyDescent="0.25">
      <c r="BE936" s="55"/>
      <c r="BF936" s="55"/>
      <c r="BG936" s="55"/>
    </row>
    <row r="937" spans="57:59" x14ac:dyDescent="0.25">
      <c r="BE937" s="55"/>
      <c r="BF937" s="55"/>
      <c r="BG937" s="55"/>
    </row>
    <row r="938" spans="57:59" x14ac:dyDescent="0.25">
      <c r="BE938" s="55"/>
      <c r="BF938" s="55"/>
      <c r="BG938" s="55"/>
    </row>
    <row r="939" spans="57:59" x14ac:dyDescent="0.25">
      <c r="BE939" s="55"/>
      <c r="BF939" s="55"/>
      <c r="BG939" s="55"/>
    </row>
    <row r="940" spans="57:59" x14ac:dyDescent="0.25">
      <c r="BE940" s="55"/>
      <c r="BF940" s="55"/>
      <c r="BG940" s="55"/>
    </row>
    <row r="941" spans="57:59" x14ac:dyDescent="0.25">
      <c r="BE941" s="55"/>
      <c r="BF941" s="55"/>
      <c r="BG941" s="55"/>
    </row>
    <row r="942" spans="57:59" x14ac:dyDescent="0.25">
      <c r="BE942" s="55"/>
      <c r="BF942" s="55"/>
      <c r="BG942" s="55"/>
    </row>
    <row r="943" spans="57:59" x14ac:dyDescent="0.25">
      <c r="BE943" s="55"/>
      <c r="BF943" s="55"/>
      <c r="BG943" s="55"/>
    </row>
    <row r="944" spans="57:59" x14ac:dyDescent="0.25">
      <c r="BE944" s="55"/>
      <c r="BF944" s="55"/>
      <c r="BG944" s="55"/>
    </row>
    <row r="945" spans="57:59" x14ac:dyDescent="0.25">
      <c r="BE945" s="55"/>
      <c r="BF945" s="55"/>
      <c r="BG945" s="55"/>
    </row>
    <row r="946" spans="57:59" x14ac:dyDescent="0.25">
      <c r="BE946" s="55"/>
      <c r="BF946" s="55"/>
      <c r="BG946" s="55"/>
    </row>
    <row r="947" spans="57:59" x14ac:dyDescent="0.25">
      <c r="BE947" s="55"/>
      <c r="BF947" s="55"/>
      <c r="BG947" s="55"/>
    </row>
    <row r="948" spans="57:59" x14ac:dyDescent="0.25">
      <c r="BE948" s="55"/>
      <c r="BF948" s="55"/>
      <c r="BG948" s="55"/>
    </row>
    <row r="949" spans="57:59" x14ac:dyDescent="0.25">
      <c r="BE949" s="55"/>
      <c r="BF949" s="55"/>
      <c r="BG949" s="55"/>
    </row>
    <row r="950" spans="57:59" x14ac:dyDescent="0.25">
      <c r="BE950" s="55"/>
      <c r="BF950" s="55"/>
      <c r="BG950" s="55"/>
    </row>
    <row r="951" spans="57:59" x14ac:dyDescent="0.25">
      <c r="BE951" s="55"/>
      <c r="BF951" s="55"/>
      <c r="BG951" s="55"/>
    </row>
    <row r="952" spans="57:59" x14ac:dyDescent="0.25">
      <c r="BE952" s="55"/>
      <c r="BF952" s="55"/>
      <c r="BG952" s="55"/>
    </row>
    <row r="953" spans="57:59" x14ac:dyDescent="0.25">
      <c r="BE953" s="55"/>
      <c r="BF953" s="55"/>
      <c r="BG953" s="55"/>
    </row>
    <row r="954" spans="57:59" x14ac:dyDescent="0.25">
      <c r="BE954" s="55"/>
      <c r="BF954" s="55"/>
      <c r="BG954" s="55"/>
    </row>
    <row r="955" spans="57:59" x14ac:dyDescent="0.25">
      <c r="BE955" s="55"/>
      <c r="BF955" s="55"/>
      <c r="BG955" s="55"/>
    </row>
    <row r="956" spans="57:59" x14ac:dyDescent="0.25">
      <c r="BE956" s="55"/>
      <c r="BF956" s="55"/>
      <c r="BG956" s="55"/>
    </row>
    <row r="957" spans="57:59" x14ac:dyDescent="0.25">
      <c r="BE957" s="55"/>
      <c r="BF957" s="55"/>
      <c r="BG957" s="55"/>
    </row>
    <row r="958" spans="57:59" x14ac:dyDescent="0.25">
      <c r="BE958" s="55"/>
      <c r="BF958" s="55"/>
      <c r="BG958" s="55"/>
    </row>
    <row r="959" spans="57:59" x14ac:dyDescent="0.25">
      <c r="BE959" s="55"/>
      <c r="BF959" s="55"/>
      <c r="BG959" s="55"/>
    </row>
    <row r="960" spans="57:59" x14ac:dyDescent="0.25">
      <c r="BE960" s="55"/>
      <c r="BF960" s="55"/>
      <c r="BG960" s="55"/>
    </row>
    <row r="961" spans="57:59" x14ac:dyDescent="0.25">
      <c r="BE961" s="55"/>
      <c r="BF961" s="55"/>
      <c r="BG961" s="55"/>
    </row>
    <row r="962" spans="57:59" x14ac:dyDescent="0.25">
      <c r="BE962" s="55"/>
      <c r="BF962" s="55"/>
      <c r="BG962" s="55"/>
    </row>
    <row r="963" spans="57:59" x14ac:dyDescent="0.25">
      <c r="BE963" s="55"/>
      <c r="BF963" s="55"/>
      <c r="BG963" s="55"/>
    </row>
    <row r="964" spans="57:59" x14ac:dyDescent="0.25">
      <c r="BE964" s="55"/>
      <c r="BF964" s="55"/>
      <c r="BG964" s="55"/>
    </row>
    <row r="965" spans="57:59" x14ac:dyDescent="0.25">
      <c r="BE965" s="55"/>
      <c r="BF965" s="55"/>
      <c r="BG965" s="55"/>
    </row>
    <row r="966" spans="57:59" x14ac:dyDescent="0.25">
      <c r="BE966" s="55"/>
      <c r="BF966" s="55"/>
      <c r="BG966" s="55"/>
    </row>
    <row r="967" spans="57:59" x14ac:dyDescent="0.25">
      <c r="BE967" s="55"/>
      <c r="BF967" s="55"/>
      <c r="BG967" s="55"/>
    </row>
    <row r="968" spans="57:59" x14ac:dyDescent="0.25">
      <c r="BE968" s="55"/>
      <c r="BF968" s="55"/>
      <c r="BG968" s="55"/>
    </row>
    <row r="969" spans="57:59" x14ac:dyDescent="0.25">
      <c r="BE969" s="55"/>
      <c r="BF969" s="55"/>
      <c r="BG969" s="55"/>
    </row>
    <row r="970" spans="57:59" x14ac:dyDescent="0.25">
      <c r="BE970" s="55"/>
      <c r="BF970" s="55"/>
      <c r="BG970" s="55"/>
    </row>
    <row r="971" spans="57:59" x14ac:dyDescent="0.25">
      <c r="BE971" s="55"/>
      <c r="BF971" s="55"/>
      <c r="BG971" s="55"/>
    </row>
    <row r="972" spans="57:59" x14ac:dyDescent="0.25">
      <c r="BE972" s="55"/>
      <c r="BF972" s="55"/>
      <c r="BG972" s="55"/>
    </row>
    <row r="973" spans="57:59" x14ac:dyDescent="0.25">
      <c r="BE973" s="55"/>
      <c r="BF973" s="55"/>
      <c r="BG973" s="55"/>
    </row>
    <row r="974" spans="57:59" x14ac:dyDescent="0.25">
      <c r="BE974" s="55"/>
      <c r="BF974" s="55"/>
      <c r="BG974" s="55"/>
    </row>
    <row r="975" spans="57:59" x14ac:dyDescent="0.25">
      <c r="BE975" s="55"/>
      <c r="BF975" s="55"/>
      <c r="BG975" s="55"/>
    </row>
    <row r="976" spans="57:59" x14ac:dyDescent="0.25">
      <c r="BE976" s="55"/>
      <c r="BF976" s="55"/>
      <c r="BG976" s="55"/>
    </row>
    <row r="977" spans="57:59" x14ac:dyDescent="0.25">
      <c r="BE977" s="55"/>
      <c r="BF977" s="55"/>
      <c r="BG977" s="55"/>
    </row>
    <row r="978" spans="57:59" x14ac:dyDescent="0.25">
      <c r="BE978" s="55"/>
      <c r="BF978" s="55"/>
      <c r="BG978" s="55"/>
    </row>
    <row r="979" spans="57:59" x14ac:dyDescent="0.25">
      <c r="BE979" s="55"/>
      <c r="BF979" s="55"/>
      <c r="BG979" s="55"/>
    </row>
    <row r="980" spans="57:59" x14ac:dyDescent="0.25">
      <c r="BE980" s="55"/>
      <c r="BF980" s="55"/>
      <c r="BG980" s="55"/>
    </row>
    <row r="981" spans="57:59" x14ac:dyDescent="0.25">
      <c r="BE981" s="55"/>
      <c r="BF981" s="55"/>
      <c r="BG981" s="55"/>
    </row>
    <row r="982" spans="57:59" x14ac:dyDescent="0.25">
      <c r="BE982" s="55"/>
      <c r="BF982" s="55"/>
      <c r="BG982" s="55"/>
    </row>
    <row r="983" spans="57:59" x14ac:dyDescent="0.25">
      <c r="BE983" s="55"/>
      <c r="BF983" s="55"/>
      <c r="BG983" s="55"/>
    </row>
    <row r="984" spans="57:59" x14ac:dyDescent="0.25">
      <c r="BE984" s="55"/>
      <c r="BF984" s="55"/>
      <c r="BG984" s="55"/>
    </row>
    <row r="985" spans="57:59" x14ac:dyDescent="0.25">
      <c r="BE985" s="55"/>
      <c r="BF985" s="55"/>
      <c r="BG985" s="55"/>
    </row>
    <row r="986" spans="57:59" x14ac:dyDescent="0.25">
      <c r="BE986" s="55"/>
      <c r="BF986" s="55"/>
      <c r="BG986" s="55"/>
    </row>
    <row r="987" spans="57:59" x14ac:dyDescent="0.25">
      <c r="BE987" s="55"/>
      <c r="BF987" s="55"/>
      <c r="BG987" s="55"/>
    </row>
    <row r="988" spans="57:59" x14ac:dyDescent="0.25">
      <c r="BE988" s="55"/>
      <c r="BF988" s="55"/>
      <c r="BG988" s="55"/>
    </row>
    <row r="989" spans="57:59" x14ac:dyDescent="0.25">
      <c r="BE989" s="55"/>
      <c r="BF989" s="55"/>
      <c r="BG989" s="55"/>
    </row>
    <row r="990" spans="57:59" x14ac:dyDescent="0.25">
      <c r="BE990" s="55"/>
      <c r="BF990" s="55"/>
      <c r="BG990" s="55"/>
    </row>
    <row r="991" spans="57:59" x14ac:dyDescent="0.25">
      <c r="BE991" s="55"/>
      <c r="BF991" s="55"/>
      <c r="BG991" s="55"/>
    </row>
    <row r="992" spans="57:59" x14ac:dyDescent="0.25">
      <c r="BE992" s="55"/>
      <c r="BF992" s="55"/>
      <c r="BG992" s="55"/>
    </row>
    <row r="993" spans="57:59" x14ac:dyDescent="0.25">
      <c r="BE993" s="55"/>
      <c r="BF993" s="55"/>
      <c r="BG993" s="55"/>
    </row>
    <row r="994" spans="57:59" x14ac:dyDescent="0.25">
      <c r="BE994" s="55"/>
      <c r="BF994" s="55"/>
      <c r="BG994" s="55"/>
    </row>
    <row r="995" spans="57:59" x14ac:dyDescent="0.25">
      <c r="BE995" s="55"/>
      <c r="BF995" s="55"/>
      <c r="BG995" s="55"/>
    </row>
    <row r="996" spans="57:59" x14ac:dyDescent="0.25">
      <c r="BE996" s="55"/>
      <c r="BF996" s="55"/>
      <c r="BG996" s="55"/>
    </row>
    <row r="997" spans="57:59" x14ac:dyDescent="0.25">
      <c r="BE997" s="55"/>
      <c r="BF997" s="55"/>
      <c r="BG997" s="55"/>
    </row>
    <row r="998" spans="57:59" x14ac:dyDescent="0.25">
      <c r="BE998" s="55"/>
      <c r="BF998" s="55"/>
      <c r="BG998" s="55"/>
    </row>
    <row r="999" spans="57:59" x14ac:dyDescent="0.25">
      <c r="BE999" s="55"/>
      <c r="BF999" s="55"/>
      <c r="BG999" s="55"/>
    </row>
    <row r="1000" spans="57:59" x14ac:dyDescent="0.25">
      <c r="BE1000" s="55"/>
      <c r="BF1000" s="55"/>
      <c r="BG1000" s="55"/>
    </row>
    <row r="1001" spans="57:59" x14ac:dyDescent="0.25">
      <c r="BE1001" s="55"/>
      <c r="BF1001" s="55"/>
      <c r="BG1001" s="55"/>
    </row>
    <row r="1002" spans="57:59" x14ac:dyDescent="0.25">
      <c r="BE1002" s="55"/>
      <c r="BF1002" s="55"/>
      <c r="BG1002" s="55"/>
    </row>
    <row r="1003" spans="57:59" x14ac:dyDescent="0.25">
      <c r="BE1003" s="55"/>
      <c r="BF1003" s="55"/>
      <c r="BG1003" s="55"/>
    </row>
    <row r="1004" spans="57:59" x14ac:dyDescent="0.25">
      <c r="BE1004" s="55"/>
      <c r="BF1004" s="55"/>
      <c r="BG1004" s="55"/>
    </row>
    <row r="1005" spans="57:59" x14ac:dyDescent="0.25">
      <c r="BE1005" s="55"/>
      <c r="BF1005" s="55"/>
      <c r="BG1005" s="55"/>
    </row>
    <row r="1006" spans="57:59" x14ac:dyDescent="0.25">
      <c r="BE1006" s="55"/>
      <c r="BF1006" s="55"/>
      <c r="BG1006" s="55"/>
    </row>
    <row r="1007" spans="57:59" x14ac:dyDescent="0.25">
      <c r="BE1007" s="55"/>
      <c r="BF1007" s="55"/>
      <c r="BG1007" s="55"/>
    </row>
    <row r="1008" spans="57:59" x14ac:dyDescent="0.25">
      <c r="BE1008" s="55"/>
      <c r="BF1008" s="55"/>
      <c r="BG1008" s="55"/>
    </row>
    <row r="1009" spans="57:59" x14ac:dyDescent="0.25">
      <c r="BE1009" s="55"/>
      <c r="BF1009" s="55"/>
      <c r="BG1009" s="55"/>
    </row>
    <row r="1010" spans="57:59" x14ac:dyDescent="0.25">
      <c r="BE1010" s="55"/>
      <c r="BF1010" s="55"/>
      <c r="BG1010" s="55"/>
    </row>
    <row r="1011" spans="57:59" x14ac:dyDescent="0.25">
      <c r="BE1011" s="55"/>
      <c r="BF1011" s="55"/>
      <c r="BG1011" s="55"/>
    </row>
    <row r="1012" spans="57:59" x14ac:dyDescent="0.25">
      <c r="BE1012" s="55"/>
      <c r="BF1012" s="55"/>
      <c r="BG1012" s="55"/>
    </row>
    <row r="1013" spans="57:59" x14ac:dyDescent="0.25">
      <c r="BE1013" s="55"/>
      <c r="BF1013" s="55"/>
      <c r="BG1013" s="55"/>
    </row>
    <row r="1014" spans="57:59" x14ac:dyDescent="0.25">
      <c r="BE1014" s="55"/>
      <c r="BF1014" s="55"/>
      <c r="BG1014" s="55"/>
    </row>
    <row r="1015" spans="57:59" x14ac:dyDescent="0.25">
      <c r="BE1015" s="55"/>
      <c r="BF1015" s="55"/>
      <c r="BG1015" s="55"/>
    </row>
    <row r="1016" spans="57:59" x14ac:dyDescent="0.25">
      <c r="BE1016" s="55"/>
      <c r="BF1016" s="55"/>
      <c r="BG1016" s="55"/>
    </row>
    <row r="1017" spans="57:59" x14ac:dyDescent="0.25">
      <c r="BE1017" s="55"/>
      <c r="BF1017" s="55"/>
      <c r="BG1017" s="55"/>
    </row>
    <row r="1018" spans="57:59" x14ac:dyDescent="0.25">
      <c r="BE1018" s="55"/>
      <c r="BF1018" s="55"/>
      <c r="BG1018" s="55"/>
    </row>
    <row r="1019" spans="57:59" x14ac:dyDescent="0.25">
      <c r="BE1019" s="55"/>
      <c r="BF1019" s="55"/>
      <c r="BG1019" s="55"/>
    </row>
    <row r="1020" spans="57:59" x14ac:dyDescent="0.25">
      <c r="BE1020" s="55"/>
      <c r="BF1020" s="55"/>
      <c r="BG1020" s="55"/>
    </row>
    <row r="1021" spans="57:59" x14ac:dyDescent="0.25">
      <c r="BE1021" s="55"/>
      <c r="BF1021" s="55"/>
      <c r="BG1021" s="55"/>
    </row>
    <row r="1022" spans="57:59" x14ac:dyDescent="0.25">
      <c r="BE1022" s="55"/>
      <c r="BF1022" s="55"/>
      <c r="BG1022" s="55"/>
    </row>
    <row r="1023" spans="57:59" x14ac:dyDescent="0.25">
      <c r="BE1023" s="55"/>
      <c r="BF1023" s="55"/>
      <c r="BG1023" s="55"/>
    </row>
    <row r="1024" spans="57:59" x14ac:dyDescent="0.25">
      <c r="BE1024" s="55"/>
      <c r="BF1024" s="55"/>
      <c r="BG1024" s="55"/>
    </row>
    <row r="1025" spans="57:59" x14ac:dyDescent="0.25">
      <c r="BE1025" s="55"/>
      <c r="BF1025" s="55"/>
      <c r="BG1025" s="55"/>
    </row>
    <row r="1026" spans="57:59" x14ac:dyDescent="0.25">
      <c r="BE1026" s="55"/>
      <c r="BF1026" s="55"/>
      <c r="BG1026" s="55"/>
    </row>
    <row r="1027" spans="57:59" x14ac:dyDescent="0.25">
      <c r="BE1027" s="55"/>
      <c r="BF1027" s="55"/>
      <c r="BG1027" s="55"/>
    </row>
    <row r="1028" spans="57:59" x14ac:dyDescent="0.25">
      <c r="BE1028" s="55"/>
      <c r="BF1028" s="55"/>
      <c r="BG1028" s="55"/>
    </row>
    <row r="1029" spans="57:59" x14ac:dyDescent="0.25">
      <c r="BE1029" s="55"/>
      <c r="BF1029" s="55"/>
      <c r="BG1029" s="55"/>
    </row>
    <row r="1030" spans="57:59" x14ac:dyDescent="0.25">
      <c r="BE1030" s="55"/>
      <c r="BF1030" s="55"/>
      <c r="BG1030" s="55"/>
    </row>
    <row r="1031" spans="57:59" x14ac:dyDescent="0.25">
      <c r="BE1031" s="55"/>
      <c r="BF1031" s="55"/>
      <c r="BG1031" s="55"/>
    </row>
    <row r="1032" spans="57:59" x14ac:dyDescent="0.25">
      <c r="BE1032" s="55"/>
      <c r="BF1032" s="55"/>
      <c r="BG1032" s="55"/>
    </row>
  </sheetData>
  <sheetProtection formatCells="0" formatRows="0" insertColumns="0" insertRows="0" insertHyperlinks="0" deleteColumns="0" deleteRows="0" sort="0" autoFilter="0" pivotTables="0"/>
  <dataValidations disablePrompts="1" count="3">
    <dataValidation type="list" allowBlank="1" showInputMessage="1" showErrorMessage="1" sqref="Z5" xr:uid="{56CAB428-336D-4AE4-A93C-06827CC827A9}">
      <formula1>$Y$5:$Y$5</formula1>
    </dataValidation>
    <dataValidation type="list" allowBlank="1" showInputMessage="1" showErrorMessage="1" sqref="B36" xr:uid="{6C706FA4-257F-40AD-B05A-18898DAFF3B9}">
      <formula1>$C$39:$F$39</formula1>
    </dataValidation>
    <dataValidation type="list" allowBlank="1" showInputMessage="1" showErrorMessage="1" sqref="C46" xr:uid="{1766A57E-CD0B-47AF-8CB5-7D4FA9B88012}">
      <formula1>$C$40:$S$40</formula1>
    </dataValidation>
  </dataValidations>
  <pageMargins left="0.7" right="0.7" top="0.75" bottom="0.75" header="0.3" footer="0.3"/>
  <ignoredErrors>
    <ignoredError sqref="B49 BK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1">
    <tabColor theme="2" tint="-0.14999847407452621"/>
  </sheetPr>
  <dimension ref="A1:AD1939"/>
  <sheetViews>
    <sheetView topLeftCell="C1" workbookViewId="0">
      <pane ySplit="1" topLeftCell="A1214" activePane="bottomLeft" state="frozen"/>
      <selection pane="bottomLeft" activeCell="L1255" sqref="L1255"/>
    </sheetView>
  </sheetViews>
  <sheetFormatPr defaultColWidth="12.5703125" defaultRowHeight="15.75" customHeight="1" x14ac:dyDescent="0.2"/>
  <cols>
    <col min="1" max="1" width="14.28515625" style="47" customWidth="1"/>
    <col min="2" max="2" width="27.7109375" style="48" customWidth="1"/>
    <col min="3" max="3" width="15.7109375" style="48" customWidth="1"/>
    <col min="4" max="4" width="11" style="49" bestFit="1" customWidth="1"/>
    <col min="5" max="5" width="12.140625" style="50" bestFit="1" customWidth="1"/>
    <col min="6" max="6" width="16" style="50" bestFit="1" customWidth="1"/>
    <col min="7" max="7" width="13.7109375" style="51" customWidth="1"/>
    <col min="8" max="8" width="20.85546875" style="48" customWidth="1"/>
    <col min="9" max="9" width="19.140625" style="48" customWidth="1"/>
    <col min="10" max="10" width="30.28515625" style="48" customWidth="1"/>
    <col min="11" max="11" width="20" style="48" customWidth="1"/>
    <col min="12" max="12" width="92.42578125" style="37" customWidth="1"/>
    <col min="13" max="13" width="22.42578125" style="46" bestFit="1" customWidth="1"/>
    <col min="14" max="14" width="12.85546875" style="48" customWidth="1"/>
    <col min="15" max="15" width="9.7109375" style="48" customWidth="1"/>
    <col min="16" max="17" width="19.140625" style="48" customWidth="1"/>
    <col min="18" max="18" width="14.140625" style="52" customWidth="1"/>
    <col min="19" max="19" width="13.140625" style="53" customWidth="1"/>
    <col min="20" max="20" width="12.140625" style="53" customWidth="1"/>
    <col min="21" max="21" width="10.85546875" style="50" bestFit="1" customWidth="1"/>
    <col min="22" max="22" width="23.28515625" style="47" bestFit="1" customWidth="1"/>
    <col min="23" max="23" width="10.140625" style="50" bestFit="1" customWidth="1"/>
    <col min="24" max="24" width="10.85546875" style="47" bestFit="1" customWidth="1"/>
    <col min="25" max="25" width="15.85546875" style="50" bestFit="1" customWidth="1"/>
    <col min="26" max="26" width="11.28515625" style="48" customWidth="1"/>
    <col min="27" max="27" width="17.140625" style="46" bestFit="1" customWidth="1"/>
    <col min="28" max="28" width="16.42578125" style="46" bestFit="1" customWidth="1"/>
    <col min="29" max="29" width="13.7109375" style="46" bestFit="1" customWidth="1"/>
    <col min="30" max="30" width="17.85546875" style="46" bestFit="1" customWidth="1"/>
  </cols>
  <sheetData>
    <row r="1" spans="1:30" s="25" customFormat="1" ht="15.75" customHeight="1" x14ac:dyDescent="0.2">
      <c r="A1" s="19" t="s">
        <v>0</v>
      </c>
      <c r="B1" s="20" t="s">
        <v>1</v>
      </c>
      <c r="C1" s="20" t="s">
        <v>2</v>
      </c>
      <c r="D1" s="21" t="s">
        <v>3</v>
      </c>
      <c r="E1" s="22" t="s">
        <v>4</v>
      </c>
      <c r="F1" s="22" t="s">
        <v>5</v>
      </c>
      <c r="G1" s="20" t="s">
        <v>6</v>
      </c>
      <c r="H1" s="20" t="s">
        <v>7</v>
      </c>
      <c r="I1" s="20" t="s">
        <v>8</v>
      </c>
      <c r="J1" s="20" t="s">
        <v>9</v>
      </c>
      <c r="K1" s="20" t="s">
        <v>10</v>
      </c>
      <c r="L1" s="23" t="s">
        <v>11</v>
      </c>
      <c r="M1" s="23" t="s">
        <v>12</v>
      </c>
      <c r="N1" s="20" t="s">
        <v>13</v>
      </c>
      <c r="O1" s="20" t="s">
        <v>14</v>
      </c>
      <c r="P1" s="20" t="s">
        <v>15</v>
      </c>
      <c r="Q1" s="20" t="s">
        <v>16</v>
      </c>
      <c r="R1" s="19" t="s">
        <v>17</v>
      </c>
      <c r="S1" s="24" t="s">
        <v>18</v>
      </c>
      <c r="T1" s="24" t="s">
        <v>19</v>
      </c>
      <c r="U1" s="22" t="s">
        <v>20</v>
      </c>
      <c r="V1" s="19" t="s">
        <v>21</v>
      </c>
      <c r="W1" s="22" t="s">
        <v>22</v>
      </c>
      <c r="X1" s="19" t="s">
        <v>23</v>
      </c>
      <c r="Y1" s="22" t="s">
        <v>3051</v>
      </c>
      <c r="Z1" s="20" t="s">
        <v>24</v>
      </c>
      <c r="AA1" s="23" t="s">
        <v>3019</v>
      </c>
      <c r="AB1" s="23" t="s">
        <v>3050</v>
      </c>
      <c r="AC1" s="23" t="s">
        <v>3018</v>
      </c>
      <c r="AD1" s="23" t="s">
        <v>3020</v>
      </c>
    </row>
    <row r="2" spans="1:30" s="37" customFormat="1" ht="15.75" customHeight="1" x14ac:dyDescent="0.2">
      <c r="A2" s="26">
        <v>3275</v>
      </c>
      <c r="B2" s="27" t="s">
        <v>63</v>
      </c>
      <c r="C2" s="27" t="s">
        <v>48</v>
      </c>
      <c r="D2" s="28">
        <v>0.04</v>
      </c>
      <c r="E2" s="29">
        <v>449.99</v>
      </c>
      <c r="F2" s="29">
        <v>24.49</v>
      </c>
      <c r="G2" s="30" t="s">
        <v>39</v>
      </c>
      <c r="H2" s="27" t="s">
        <v>3095</v>
      </c>
      <c r="I2" s="27" t="s">
        <v>41</v>
      </c>
      <c r="J2" s="27" t="s">
        <v>64</v>
      </c>
      <c r="K2" s="27" t="s">
        <v>65</v>
      </c>
      <c r="L2" s="31" t="s">
        <v>66</v>
      </c>
      <c r="M2" s="32">
        <v>0.52</v>
      </c>
      <c r="N2" s="27" t="s">
        <v>33</v>
      </c>
      <c r="O2" s="27" t="s">
        <v>60</v>
      </c>
      <c r="P2" s="27" t="s">
        <v>67</v>
      </c>
      <c r="Q2" s="27" t="s">
        <v>68</v>
      </c>
      <c r="R2" s="33">
        <v>98273</v>
      </c>
      <c r="S2" s="34">
        <v>42005</v>
      </c>
      <c r="T2" s="34">
        <v>42009</v>
      </c>
      <c r="U2" s="29">
        <v>3576.8841000000002</v>
      </c>
      <c r="V2" s="26">
        <v>12</v>
      </c>
      <c r="W2" s="29">
        <v>5183.8900000000003</v>
      </c>
      <c r="X2" s="26">
        <v>86234</v>
      </c>
      <c r="Y2" s="35">
        <v>348.2</v>
      </c>
      <c r="Z2" s="1" t="s">
        <v>3013</v>
      </c>
      <c r="AA2" s="36">
        <v>215.99520000000001</v>
      </c>
      <c r="AB2" s="54">
        <v>2488.2672000000002</v>
      </c>
      <c r="AC2" s="54">
        <v>224.63523333333333</v>
      </c>
      <c r="AD2" s="36">
        <v>1366.5207000000005</v>
      </c>
    </row>
    <row r="3" spans="1:30" s="37" customFormat="1" ht="15.75" customHeight="1" x14ac:dyDescent="0.2">
      <c r="A3" s="26">
        <v>1425</v>
      </c>
      <c r="B3" s="27" t="s">
        <v>56</v>
      </c>
      <c r="C3" s="27" t="s">
        <v>48</v>
      </c>
      <c r="D3" s="28">
        <v>0.04</v>
      </c>
      <c r="E3" s="29">
        <v>2036.48</v>
      </c>
      <c r="F3" s="29">
        <v>14.7</v>
      </c>
      <c r="G3" s="30" t="s">
        <v>27</v>
      </c>
      <c r="H3" s="27" t="s">
        <v>3095</v>
      </c>
      <c r="I3" s="27" t="s">
        <v>41</v>
      </c>
      <c r="J3" s="27" t="s">
        <v>57</v>
      </c>
      <c r="K3" s="27" t="s">
        <v>58</v>
      </c>
      <c r="L3" s="31" t="s">
        <v>59</v>
      </c>
      <c r="M3" s="32">
        <v>0.55000000000000004</v>
      </c>
      <c r="N3" s="27" t="s">
        <v>33</v>
      </c>
      <c r="O3" s="27" t="s">
        <v>60</v>
      </c>
      <c r="P3" s="27" t="s">
        <v>61</v>
      </c>
      <c r="Q3" s="27" t="s">
        <v>62</v>
      </c>
      <c r="R3" s="33">
        <v>80525</v>
      </c>
      <c r="S3" s="34">
        <v>42005</v>
      </c>
      <c r="T3" s="34">
        <v>42010</v>
      </c>
      <c r="U3" s="29">
        <v>-4793.0039999999999</v>
      </c>
      <c r="V3" s="26">
        <v>1</v>
      </c>
      <c r="W3" s="29">
        <v>2013.67</v>
      </c>
      <c r="X3" s="26">
        <v>89450</v>
      </c>
      <c r="Y3" s="35">
        <v>45.15</v>
      </c>
      <c r="Z3" s="1" t="s">
        <v>3013</v>
      </c>
      <c r="AA3" s="36">
        <v>81.459199999999996</v>
      </c>
      <c r="AB3" s="54">
        <v>906.15149999999994</v>
      </c>
      <c r="AC3" s="54">
        <v>1107.5185000000001</v>
      </c>
      <c r="AD3" s="36">
        <v>6710.5147999999999</v>
      </c>
    </row>
    <row r="4" spans="1:30" s="37" customFormat="1" ht="15.75" customHeight="1" x14ac:dyDescent="0.2">
      <c r="A4" s="26">
        <v>1552</v>
      </c>
      <c r="B4" s="27" t="s">
        <v>25</v>
      </c>
      <c r="C4" s="27" t="s">
        <v>26</v>
      </c>
      <c r="D4" s="28">
        <v>0.01</v>
      </c>
      <c r="E4" s="29">
        <v>348.21</v>
      </c>
      <c r="F4" s="29">
        <v>40.19</v>
      </c>
      <c r="G4" s="30" t="s">
        <v>27</v>
      </c>
      <c r="H4" s="27" t="s">
        <v>3095</v>
      </c>
      <c r="I4" s="27" t="s">
        <v>29</v>
      </c>
      <c r="J4" s="27" t="s">
        <v>30</v>
      </c>
      <c r="K4" s="27" t="s">
        <v>31</v>
      </c>
      <c r="L4" s="31" t="s">
        <v>32</v>
      </c>
      <c r="M4" s="32">
        <v>0.62</v>
      </c>
      <c r="N4" s="27" t="s">
        <v>33</v>
      </c>
      <c r="O4" s="27" t="s">
        <v>34</v>
      </c>
      <c r="P4" s="27" t="s">
        <v>35</v>
      </c>
      <c r="Q4" s="27" t="s">
        <v>36</v>
      </c>
      <c r="R4" s="33">
        <v>39056</v>
      </c>
      <c r="S4" s="34">
        <v>42005</v>
      </c>
      <c r="T4" s="34">
        <v>42008</v>
      </c>
      <c r="U4" s="29">
        <v>-337.09199999999998</v>
      </c>
      <c r="V4" s="26">
        <v>2</v>
      </c>
      <c r="W4" s="29">
        <v>723.54</v>
      </c>
      <c r="X4" s="26">
        <v>87486</v>
      </c>
      <c r="Y4" s="35">
        <v>4.7699999999999996</v>
      </c>
      <c r="Z4" s="1" t="s">
        <v>3011</v>
      </c>
      <c r="AA4" s="36">
        <v>6.9641999999999999</v>
      </c>
      <c r="AB4" s="54">
        <v>274.9452</v>
      </c>
      <c r="AC4" s="54">
        <v>224.29739999999998</v>
      </c>
      <c r="AD4" s="36">
        <v>1013.4777999999999</v>
      </c>
    </row>
    <row r="5" spans="1:30" s="37" customFormat="1" ht="15.75" customHeight="1" x14ac:dyDescent="0.2">
      <c r="A5" s="26">
        <v>2124</v>
      </c>
      <c r="B5" s="27" t="s">
        <v>37</v>
      </c>
      <c r="C5" s="27" t="s">
        <v>38</v>
      </c>
      <c r="D5" s="28">
        <v>0.04</v>
      </c>
      <c r="E5" s="29">
        <v>45.19</v>
      </c>
      <c r="F5" s="29">
        <v>1.99</v>
      </c>
      <c r="G5" s="30" t="s">
        <v>39</v>
      </c>
      <c r="H5" s="27" t="s">
        <v>40</v>
      </c>
      <c r="I5" s="27" t="s">
        <v>41</v>
      </c>
      <c r="J5" s="27" t="s">
        <v>42</v>
      </c>
      <c r="K5" s="27" t="s">
        <v>43</v>
      </c>
      <c r="L5" s="31" t="s">
        <v>44</v>
      </c>
      <c r="M5" s="32">
        <v>0.55000000000000004</v>
      </c>
      <c r="N5" s="27" t="s">
        <v>33</v>
      </c>
      <c r="O5" s="27" t="s">
        <v>34</v>
      </c>
      <c r="P5" s="27" t="s">
        <v>45</v>
      </c>
      <c r="Q5" s="27" t="s">
        <v>46</v>
      </c>
      <c r="R5" s="33">
        <v>72301</v>
      </c>
      <c r="S5" s="34">
        <v>42005</v>
      </c>
      <c r="T5" s="34">
        <v>42006</v>
      </c>
      <c r="U5" s="29">
        <v>-61.194000000000003</v>
      </c>
      <c r="V5" s="26">
        <v>13</v>
      </c>
      <c r="W5" s="29">
        <v>609.09</v>
      </c>
      <c r="X5" s="26">
        <v>89665</v>
      </c>
      <c r="Y5" s="35">
        <v>2036.44</v>
      </c>
      <c r="Z5" s="1" t="s">
        <v>3011</v>
      </c>
      <c r="AA5" s="36">
        <v>23.498799999999999</v>
      </c>
      <c r="AB5" s="54">
        <v>274.09049999999996</v>
      </c>
      <c r="AC5" s="54">
        <v>25.769192307692311</v>
      </c>
      <c r="AD5" s="36">
        <v>644.79520000000002</v>
      </c>
    </row>
    <row r="6" spans="1:30" s="37" customFormat="1" ht="15.75" customHeight="1" x14ac:dyDescent="0.2">
      <c r="A6" s="26">
        <v>1910</v>
      </c>
      <c r="B6" s="27" t="s">
        <v>70</v>
      </c>
      <c r="C6" s="27" t="s">
        <v>3094</v>
      </c>
      <c r="D6" s="28">
        <v>0.02</v>
      </c>
      <c r="E6" s="29">
        <v>29.17</v>
      </c>
      <c r="F6" s="29">
        <v>6.27</v>
      </c>
      <c r="G6" s="30" t="s">
        <v>39</v>
      </c>
      <c r="H6" s="27" t="s">
        <v>71</v>
      </c>
      <c r="I6" s="27" t="s">
        <v>49</v>
      </c>
      <c r="J6" s="27" t="s">
        <v>72</v>
      </c>
      <c r="K6" s="27" t="s">
        <v>73</v>
      </c>
      <c r="L6" s="31" t="s">
        <v>74</v>
      </c>
      <c r="M6" s="32">
        <v>0.37</v>
      </c>
      <c r="N6" s="27" t="s">
        <v>33</v>
      </c>
      <c r="O6" s="27" t="s">
        <v>34</v>
      </c>
      <c r="P6" s="27" t="s">
        <v>75</v>
      </c>
      <c r="Q6" s="27" t="s">
        <v>76</v>
      </c>
      <c r="R6" s="33">
        <v>30269</v>
      </c>
      <c r="S6" s="34">
        <v>42005</v>
      </c>
      <c r="T6" s="34">
        <v>42006</v>
      </c>
      <c r="U6" s="29">
        <v>36.905999999999999</v>
      </c>
      <c r="V6" s="26">
        <v>2</v>
      </c>
      <c r="W6" s="29">
        <v>63.32</v>
      </c>
      <c r="X6" s="26">
        <v>91371</v>
      </c>
      <c r="Y6" s="35">
        <v>449.95</v>
      </c>
      <c r="Z6" s="1" t="s">
        <v>3011</v>
      </c>
      <c r="AA6" s="36">
        <v>1.1668000000000001</v>
      </c>
      <c r="AB6" s="54">
        <v>39.891600000000004</v>
      </c>
      <c r="AC6" s="54">
        <v>11.7142</v>
      </c>
      <c r="AD6" s="36">
        <v>18.977199999999996</v>
      </c>
    </row>
    <row r="7" spans="1:30" s="37" customFormat="1" ht="15.75" customHeight="1" x14ac:dyDescent="0.2">
      <c r="A7" s="26">
        <v>1418</v>
      </c>
      <c r="B7" s="27" t="s">
        <v>47</v>
      </c>
      <c r="C7" s="27" t="s">
        <v>48</v>
      </c>
      <c r="D7" s="28">
        <v>7.0000000000000007E-2</v>
      </c>
      <c r="E7" s="29">
        <v>4.84</v>
      </c>
      <c r="F7" s="29">
        <v>0.71</v>
      </c>
      <c r="G7" s="30" t="s">
        <v>39</v>
      </c>
      <c r="H7" s="27" t="s">
        <v>3095</v>
      </c>
      <c r="I7" s="27" t="s">
        <v>49</v>
      </c>
      <c r="J7" s="27" t="s">
        <v>50</v>
      </c>
      <c r="K7" s="27" t="s">
        <v>51</v>
      </c>
      <c r="L7" s="31" t="s">
        <v>52</v>
      </c>
      <c r="M7" s="32">
        <v>0.52</v>
      </c>
      <c r="N7" s="27" t="s">
        <v>33</v>
      </c>
      <c r="O7" s="27" t="s">
        <v>53</v>
      </c>
      <c r="P7" s="27" t="s">
        <v>54</v>
      </c>
      <c r="Q7" s="27" t="s">
        <v>55</v>
      </c>
      <c r="R7" s="33">
        <v>46901</v>
      </c>
      <c r="S7" s="34">
        <v>42005</v>
      </c>
      <c r="T7" s="34">
        <v>42007</v>
      </c>
      <c r="U7" s="29">
        <v>25.240200000000002</v>
      </c>
      <c r="V7" s="26">
        <v>8</v>
      </c>
      <c r="W7" s="29">
        <v>36.58</v>
      </c>
      <c r="X7" s="26">
        <v>90539</v>
      </c>
      <c r="Y7" s="35">
        <v>5.83</v>
      </c>
      <c r="Z7" s="1" t="s">
        <v>3012</v>
      </c>
      <c r="AA7" s="36">
        <v>2.7104000000000004</v>
      </c>
      <c r="AB7" s="54">
        <v>17.558399999999999</v>
      </c>
      <c r="AC7" s="54">
        <v>2.3776999999999999</v>
      </c>
      <c r="AD7" s="36">
        <v>7.919399999999996</v>
      </c>
    </row>
    <row r="8" spans="1:30" s="37" customFormat="1" ht="15.75" customHeight="1" x14ac:dyDescent="0.2">
      <c r="A8" s="26">
        <v>3275</v>
      </c>
      <c r="B8" s="27" t="s">
        <v>63</v>
      </c>
      <c r="C8" s="27" t="s">
        <v>48</v>
      </c>
      <c r="D8" s="28">
        <v>0.01</v>
      </c>
      <c r="E8" s="29">
        <v>5.84</v>
      </c>
      <c r="F8" s="29">
        <v>1.2</v>
      </c>
      <c r="G8" s="30" t="s">
        <v>39</v>
      </c>
      <c r="H8" s="27" t="s">
        <v>3095</v>
      </c>
      <c r="I8" s="27" t="s">
        <v>49</v>
      </c>
      <c r="J8" s="27" t="s">
        <v>50</v>
      </c>
      <c r="K8" s="27" t="s">
        <v>51</v>
      </c>
      <c r="L8" s="31" t="s">
        <v>69</v>
      </c>
      <c r="M8" s="32">
        <v>0.55000000000000004</v>
      </c>
      <c r="N8" s="27" t="s">
        <v>33</v>
      </c>
      <c r="O8" s="27" t="s">
        <v>60</v>
      </c>
      <c r="P8" s="27" t="s">
        <v>67</v>
      </c>
      <c r="Q8" s="27" t="s">
        <v>68</v>
      </c>
      <c r="R8" s="33">
        <v>98273</v>
      </c>
      <c r="S8" s="34">
        <v>42005</v>
      </c>
      <c r="T8" s="34">
        <v>42014</v>
      </c>
      <c r="U8" s="29">
        <v>20.38</v>
      </c>
      <c r="V8" s="26">
        <v>6</v>
      </c>
      <c r="W8" s="29">
        <v>36.090000000000003</v>
      </c>
      <c r="X8" s="26">
        <v>86234</v>
      </c>
      <c r="Y8" s="35">
        <v>29.150000000000002</v>
      </c>
      <c r="Z8" s="1" t="s">
        <v>3013</v>
      </c>
      <c r="AA8" s="36">
        <v>0.35039999999999999</v>
      </c>
      <c r="AB8" s="54">
        <v>16.240500000000001</v>
      </c>
      <c r="AC8" s="54">
        <v>3.3082500000000006</v>
      </c>
      <c r="AD8" s="36">
        <v>14.159600000000005</v>
      </c>
    </row>
    <row r="9" spans="1:30" s="37" customFormat="1" ht="15.75" customHeight="1" x14ac:dyDescent="0.2">
      <c r="A9" s="26">
        <v>349</v>
      </c>
      <c r="B9" s="27" t="s">
        <v>125</v>
      </c>
      <c r="C9" s="27" t="s">
        <v>116</v>
      </c>
      <c r="D9" s="28">
        <v>0.04</v>
      </c>
      <c r="E9" s="29">
        <v>99.23</v>
      </c>
      <c r="F9" s="29">
        <v>8.99</v>
      </c>
      <c r="G9" s="30" t="s">
        <v>39</v>
      </c>
      <c r="H9" s="27" t="s">
        <v>71</v>
      </c>
      <c r="I9" s="27" t="s">
        <v>29</v>
      </c>
      <c r="J9" s="27" t="s">
        <v>126</v>
      </c>
      <c r="K9" s="27" t="s">
        <v>43</v>
      </c>
      <c r="L9" s="31" t="s">
        <v>127</v>
      </c>
      <c r="M9" s="32">
        <v>0.35</v>
      </c>
      <c r="N9" s="27" t="s">
        <v>33</v>
      </c>
      <c r="O9" s="27" t="s">
        <v>34</v>
      </c>
      <c r="P9" s="27" t="s">
        <v>123</v>
      </c>
      <c r="Q9" s="27" t="s">
        <v>128</v>
      </c>
      <c r="R9" s="33">
        <v>33132</v>
      </c>
      <c r="S9" s="34">
        <v>42006</v>
      </c>
      <c r="T9" s="34">
        <v>42008</v>
      </c>
      <c r="U9" s="29">
        <v>1916.6757</v>
      </c>
      <c r="V9" s="26">
        <v>54</v>
      </c>
      <c r="W9" s="29">
        <v>5555.6</v>
      </c>
      <c r="X9" s="26">
        <v>11527</v>
      </c>
      <c r="Y9" s="35">
        <v>161.49</v>
      </c>
      <c r="Z9" s="1" t="s">
        <v>3011</v>
      </c>
      <c r="AA9" s="36">
        <v>214.33680000000001</v>
      </c>
      <c r="AB9" s="54">
        <v>3611.1400000000003</v>
      </c>
      <c r="AC9" s="54">
        <v>36.008518518518521</v>
      </c>
      <c r="AD9" s="36">
        <v>3415.5975000000003</v>
      </c>
    </row>
    <row r="10" spans="1:30" s="37" customFormat="1" ht="15.75" customHeight="1" x14ac:dyDescent="0.2">
      <c r="A10" s="26">
        <v>68</v>
      </c>
      <c r="B10" s="27" t="s">
        <v>108</v>
      </c>
      <c r="C10" s="27" t="s">
        <v>48</v>
      </c>
      <c r="D10" s="28">
        <v>0.05</v>
      </c>
      <c r="E10" s="29">
        <v>155.06</v>
      </c>
      <c r="F10" s="29">
        <v>7.07</v>
      </c>
      <c r="G10" s="30" t="s">
        <v>39</v>
      </c>
      <c r="H10" s="27" t="s">
        <v>94</v>
      </c>
      <c r="I10" s="27" t="s">
        <v>49</v>
      </c>
      <c r="J10" s="27" t="s">
        <v>78</v>
      </c>
      <c r="K10" s="27" t="s">
        <v>73</v>
      </c>
      <c r="L10" s="31" t="s">
        <v>106</v>
      </c>
      <c r="M10" s="32">
        <v>0.59</v>
      </c>
      <c r="N10" s="27" t="s">
        <v>33</v>
      </c>
      <c r="O10" s="27" t="s">
        <v>111</v>
      </c>
      <c r="P10" s="27" t="s">
        <v>112</v>
      </c>
      <c r="Q10" s="27" t="s">
        <v>113</v>
      </c>
      <c r="R10" s="33">
        <v>10177</v>
      </c>
      <c r="S10" s="34">
        <v>42006</v>
      </c>
      <c r="T10" s="34">
        <v>42013</v>
      </c>
      <c r="U10" s="29">
        <v>575.39599999999996</v>
      </c>
      <c r="V10" s="26">
        <v>32</v>
      </c>
      <c r="W10" s="29">
        <v>4902.38</v>
      </c>
      <c r="X10" s="26">
        <v>37537</v>
      </c>
      <c r="Y10" s="35">
        <v>40.919999999999995</v>
      </c>
      <c r="Z10" s="1" t="s">
        <v>3014</v>
      </c>
      <c r="AA10" s="36">
        <v>248.096</v>
      </c>
      <c r="AB10" s="54">
        <v>2009.9758000000002</v>
      </c>
      <c r="AC10" s="54">
        <v>90.387631249999998</v>
      </c>
      <c r="AD10" s="36">
        <v>4071.8180000000002</v>
      </c>
    </row>
    <row r="11" spans="1:30" s="37" customFormat="1" ht="15.75" customHeight="1" x14ac:dyDescent="0.2">
      <c r="A11" s="26">
        <v>68</v>
      </c>
      <c r="B11" s="27" t="s">
        <v>108</v>
      </c>
      <c r="C11" s="27" t="s">
        <v>48</v>
      </c>
      <c r="D11" s="28">
        <v>7.0000000000000007E-2</v>
      </c>
      <c r="E11" s="29">
        <v>100.98</v>
      </c>
      <c r="F11" s="29">
        <v>45</v>
      </c>
      <c r="G11" s="30" t="s">
        <v>27</v>
      </c>
      <c r="H11" s="27" t="s">
        <v>94</v>
      </c>
      <c r="I11" s="27" t="s">
        <v>29</v>
      </c>
      <c r="J11" s="27" t="s">
        <v>109</v>
      </c>
      <c r="K11" s="27" t="s">
        <v>58</v>
      </c>
      <c r="L11" s="31" t="s">
        <v>114</v>
      </c>
      <c r="M11" s="32">
        <v>0.69</v>
      </c>
      <c r="N11" s="27" t="s">
        <v>33</v>
      </c>
      <c r="O11" s="27" t="s">
        <v>111</v>
      </c>
      <c r="P11" s="27" t="s">
        <v>112</v>
      </c>
      <c r="Q11" s="27" t="s">
        <v>113</v>
      </c>
      <c r="R11" s="33">
        <v>10177</v>
      </c>
      <c r="S11" s="34">
        <v>42006</v>
      </c>
      <c r="T11" s="34">
        <v>42008</v>
      </c>
      <c r="U11" s="29">
        <v>-1679.76</v>
      </c>
      <c r="V11" s="26">
        <v>43</v>
      </c>
      <c r="W11" s="29">
        <v>4083.19</v>
      </c>
      <c r="X11" s="26">
        <v>37537</v>
      </c>
      <c r="Y11" s="35">
        <v>9.02</v>
      </c>
      <c r="Z11" s="1" t="s">
        <v>3014</v>
      </c>
      <c r="AA11" s="36">
        <v>303.94980000000004</v>
      </c>
      <c r="AB11" s="54">
        <v>1265.7889000000002</v>
      </c>
      <c r="AC11" s="54">
        <v>65.520955813953478</v>
      </c>
      <c r="AD11" s="36">
        <v>5414.0002000000004</v>
      </c>
    </row>
    <row r="12" spans="1:30" s="37" customFormat="1" ht="15.75" customHeight="1" x14ac:dyDescent="0.2">
      <c r="A12" s="26">
        <v>1136</v>
      </c>
      <c r="B12" s="27" t="s">
        <v>101</v>
      </c>
      <c r="C12" s="27" t="s">
        <v>38</v>
      </c>
      <c r="D12" s="28">
        <v>0.09</v>
      </c>
      <c r="E12" s="29">
        <v>270.97000000000003</v>
      </c>
      <c r="F12" s="29">
        <v>28.06</v>
      </c>
      <c r="G12" s="30" t="s">
        <v>27</v>
      </c>
      <c r="H12" s="27" t="s">
        <v>40</v>
      </c>
      <c r="I12" s="27" t="s">
        <v>41</v>
      </c>
      <c r="J12" s="27" t="s">
        <v>57</v>
      </c>
      <c r="K12" s="27" t="s">
        <v>58</v>
      </c>
      <c r="L12" s="31" t="s">
        <v>102</v>
      </c>
      <c r="M12" s="32">
        <v>0.56000000000000005</v>
      </c>
      <c r="N12" s="27" t="s">
        <v>33</v>
      </c>
      <c r="O12" s="27" t="s">
        <v>53</v>
      </c>
      <c r="P12" s="27" t="s">
        <v>103</v>
      </c>
      <c r="Q12" s="27" t="s">
        <v>104</v>
      </c>
      <c r="R12" s="33">
        <v>60188</v>
      </c>
      <c r="S12" s="34">
        <v>42006</v>
      </c>
      <c r="T12" s="34">
        <v>42008</v>
      </c>
      <c r="U12" s="29">
        <v>2660.1432</v>
      </c>
      <c r="V12" s="26">
        <v>15</v>
      </c>
      <c r="W12" s="29">
        <v>3855.28</v>
      </c>
      <c r="X12" s="26">
        <v>87940</v>
      </c>
      <c r="Y12" s="35">
        <v>14.959999999999999</v>
      </c>
      <c r="Z12" s="1" t="s">
        <v>3012</v>
      </c>
      <c r="AA12" s="36">
        <v>365.80950000000007</v>
      </c>
      <c r="AB12" s="54">
        <v>1696.3231999999998</v>
      </c>
      <c r="AC12" s="54">
        <v>143.93045333333333</v>
      </c>
      <c r="AD12" s="36">
        <v>801.26729999999998</v>
      </c>
    </row>
    <row r="13" spans="1:30" s="37" customFormat="1" ht="15.75" customHeight="1" x14ac:dyDescent="0.2">
      <c r="A13" s="26">
        <v>351</v>
      </c>
      <c r="B13" s="27" t="s">
        <v>129</v>
      </c>
      <c r="C13" s="27" t="s">
        <v>116</v>
      </c>
      <c r="D13" s="28">
        <v>0.04</v>
      </c>
      <c r="E13" s="29">
        <v>99.23</v>
      </c>
      <c r="F13" s="29">
        <v>8.99</v>
      </c>
      <c r="G13" s="30" t="s">
        <v>39</v>
      </c>
      <c r="H13" s="27" t="s">
        <v>71</v>
      </c>
      <c r="I13" s="27" t="s">
        <v>29</v>
      </c>
      <c r="J13" s="27" t="s">
        <v>126</v>
      </c>
      <c r="K13" s="27" t="s">
        <v>43</v>
      </c>
      <c r="L13" s="31" t="s">
        <v>127</v>
      </c>
      <c r="M13" s="32">
        <v>0.35</v>
      </c>
      <c r="N13" s="27" t="s">
        <v>33</v>
      </c>
      <c r="O13" s="27" t="s">
        <v>111</v>
      </c>
      <c r="P13" s="27" t="s">
        <v>112</v>
      </c>
      <c r="Q13" s="27" t="s">
        <v>130</v>
      </c>
      <c r="R13" s="33">
        <v>13601</v>
      </c>
      <c r="S13" s="34">
        <v>42006</v>
      </c>
      <c r="T13" s="34">
        <v>42008</v>
      </c>
      <c r="U13" s="29">
        <v>993.83460000000002</v>
      </c>
      <c r="V13" s="26">
        <v>14</v>
      </c>
      <c r="W13" s="29">
        <v>1440.34</v>
      </c>
      <c r="X13" s="26">
        <v>88686</v>
      </c>
      <c r="Y13" s="35">
        <v>60.9</v>
      </c>
      <c r="Z13" s="1" t="s">
        <v>3014</v>
      </c>
      <c r="AA13" s="36">
        <v>55.568800000000003</v>
      </c>
      <c r="AB13" s="54">
        <v>936.221</v>
      </c>
      <c r="AC13" s="54">
        <v>36.008499999999998</v>
      </c>
      <c r="AD13" s="36">
        <v>381.94659999999999</v>
      </c>
    </row>
    <row r="14" spans="1:30" s="37" customFormat="1" ht="15.75" customHeight="1" x14ac:dyDescent="0.2">
      <c r="A14" s="26">
        <v>68</v>
      </c>
      <c r="B14" s="27" t="s">
        <v>108</v>
      </c>
      <c r="C14" s="27" t="s">
        <v>48</v>
      </c>
      <c r="D14" s="28">
        <v>0</v>
      </c>
      <c r="E14" s="29">
        <v>291.73</v>
      </c>
      <c r="F14" s="29">
        <v>48.8</v>
      </c>
      <c r="G14" s="30" t="s">
        <v>27</v>
      </c>
      <c r="H14" s="27" t="s">
        <v>94</v>
      </c>
      <c r="I14" s="27" t="s">
        <v>29</v>
      </c>
      <c r="J14" s="27" t="s">
        <v>109</v>
      </c>
      <c r="K14" s="27" t="s">
        <v>58</v>
      </c>
      <c r="L14" s="31" t="s">
        <v>110</v>
      </c>
      <c r="M14" s="32">
        <v>0.56000000000000005</v>
      </c>
      <c r="N14" s="27" t="s">
        <v>33</v>
      </c>
      <c r="O14" s="27" t="s">
        <v>111</v>
      </c>
      <c r="P14" s="27" t="s">
        <v>112</v>
      </c>
      <c r="Q14" s="27" t="s">
        <v>113</v>
      </c>
      <c r="R14" s="33">
        <v>10177</v>
      </c>
      <c r="S14" s="34">
        <v>42006</v>
      </c>
      <c r="T14" s="34">
        <v>42006</v>
      </c>
      <c r="U14" s="29">
        <v>-308.928</v>
      </c>
      <c r="V14" s="26">
        <v>4</v>
      </c>
      <c r="W14" s="29">
        <v>1239.06</v>
      </c>
      <c r="X14" s="26">
        <v>37537</v>
      </c>
      <c r="Y14" s="35">
        <v>40.919999999999995</v>
      </c>
      <c r="Z14" s="1" t="s">
        <v>3014</v>
      </c>
      <c r="AA14" s="36">
        <v>0</v>
      </c>
      <c r="AB14" s="54">
        <v>545.18639999999994</v>
      </c>
      <c r="AC14" s="54">
        <v>173.4684</v>
      </c>
      <c r="AD14" s="36">
        <v>1499.1879999999999</v>
      </c>
    </row>
    <row r="15" spans="1:30" s="37" customFormat="1" ht="15.75" customHeight="1" x14ac:dyDescent="0.2">
      <c r="A15" s="26">
        <v>67</v>
      </c>
      <c r="B15" s="27" t="s">
        <v>105</v>
      </c>
      <c r="C15" s="27" t="s">
        <v>48</v>
      </c>
      <c r="D15" s="28">
        <v>0.05</v>
      </c>
      <c r="E15" s="29">
        <v>155.06</v>
      </c>
      <c r="F15" s="29">
        <v>7.07</v>
      </c>
      <c r="G15" s="30" t="s">
        <v>39</v>
      </c>
      <c r="H15" s="27" t="s">
        <v>94</v>
      </c>
      <c r="I15" s="27" t="s">
        <v>49</v>
      </c>
      <c r="J15" s="27" t="s">
        <v>78</v>
      </c>
      <c r="K15" s="27" t="s">
        <v>73</v>
      </c>
      <c r="L15" s="31" t="s">
        <v>106</v>
      </c>
      <c r="M15" s="32">
        <v>0.59</v>
      </c>
      <c r="N15" s="27" t="s">
        <v>33</v>
      </c>
      <c r="O15" s="27" t="s">
        <v>60</v>
      </c>
      <c r="P15" s="27" t="s">
        <v>90</v>
      </c>
      <c r="Q15" s="27" t="s">
        <v>107</v>
      </c>
      <c r="R15" s="33">
        <v>94559</v>
      </c>
      <c r="S15" s="34">
        <v>42006</v>
      </c>
      <c r="T15" s="34">
        <v>42013</v>
      </c>
      <c r="U15" s="29">
        <v>845.66399999999999</v>
      </c>
      <c r="V15" s="26">
        <v>8</v>
      </c>
      <c r="W15" s="29">
        <v>1225.5999999999999</v>
      </c>
      <c r="X15" s="26">
        <v>87946</v>
      </c>
      <c r="Y15" s="35">
        <v>270.88000000000005</v>
      </c>
      <c r="Z15" s="1" t="s">
        <v>3013</v>
      </c>
      <c r="AA15" s="36">
        <v>62.024000000000001</v>
      </c>
      <c r="AB15" s="54">
        <v>502.49599999999998</v>
      </c>
      <c r="AC15" s="54">
        <v>90.387999999999991</v>
      </c>
      <c r="AD15" s="36">
        <v>310.84199999999987</v>
      </c>
    </row>
    <row r="16" spans="1:30" s="37" customFormat="1" ht="15.75" customHeight="1" x14ac:dyDescent="0.2">
      <c r="A16" s="26">
        <v>164</v>
      </c>
      <c r="B16" s="27" t="s">
        <v>115</v>
      </c>
      <c r="C16" s="27" t="s">
        <v>116</v>
      </c>
      <c r="D16" s="28">
        <v>0.05</v>
      </c>
      <c r="E16" s="29">
        <v>100.98</v>
      </c>
      <c r="F16" s="29">
        <v>35.840000000000003</v>
      </c>
      <c r="G16" s="30" t="s">
        <v>27</v>
      </c>
      <c r="H16" s="27" t="s">
        <v>71</v>
      </c>
      <c r="I16" s="27" t="s">
        <v>29</v>
      </c>
      <c r="J16" s="27" t="s">
        <v>117</v>
      </c>
      <c r="K16" s="27" t="s">
        <v>31</v>
      </c>
      <c r="L16" s="31" t="s">
        <v>118</v>
      </c>
      <c r="M16" s="32">
        <v>0.62</v>
      </c>
      <c r="N16" s="27" t="s">
        <v>33</v>
      </c>
      <c r="O16" s="27" t="s">
        <v>60</v>
      </c>
      <c r="P16" s="27" t="s">
        <v>67</v>
      </c>
      <c r="Q16" s="27" t="s">
        <v>119</v>
      </c>
      <c r="R16" s="33">
        <v>99352</v>
      </c>
      <c r="S16" s="34">
        <v>42006</v>
      </c>
      <c r="T16" s="34">
        <v>42008</v>
      </c>
      <c r="U16" s="29">
        <v>-111.4</v>
      </c>
      <c r="V16" s="26">
        <v>7</v>
      </c>
      <c r="W16" s="29">
        <v>715.55</v>
      </c>
      <c r="X16" s="26">
        <v>89961</v>
      </c>
      <c r="Y16" s="35">
        <v>155.01</v>
      </c>
      <c r="Z16" s="1" t="s">
        <v>3013</v>
      </c>
      <c r="AA16" s="36">
        <v>35.343000000000004</v>
      </c>
      <c r="AB16" s="54">
        <v>271.90899999999999</v>
      </c>
      <c r="AC16" s="54">
        <v>63.377285714285705</v>
      </c>
      <c r="AD16" s="36">
        <v>755.76699999999994</v>
      </c>
    </row>
    <row r="17" spans="1:30" s="37" customFormat="1" ht="15.75" customHeight="1" x14ac:dyDescent="0.2">
      <c r="A17" s="26">
        <v>674</v>
      </c>
      <c r="B17" s="27" t="s">
        <v>77</v>
      </c>
      <c r="C17" s="27" t="s">
        <v>26</v>
      </c>
      <c r="D17" s="28">
        <v>0.06</v>
      </c>
      <c r="E17" s="29">
        <v>161.55000000000001</v>
      </c>
      <c r="F17" s="29">
        <v>19.989999999999998</v>
      </c>
      <c r="G17" s="30" t="s">
        <v>39</v>
      </c>
      <c r="H17" s="27" t="s">
        <v>3095</v>
      </c>
      <c r="I17" s="27" t="s">
        <v>49</v>
      </c>
      <c r="J17" s="27" t="s">
        <v>78</v>
      </c>
      <c r="K17" s="27" t="s">
        <v>73</v>
      </c>
      <c r="L17" s="31" t="s">
        <v>79</v>
      </c>
      <c r="M17" s="32">
        <v>0.66</v>
      </c>
      <c r="N17" s="27" t="s">
        <v>33</v>
      </c>
      <c r="O17" s="27" t="s">
        <v>53</v>
      </c>
      <c r="P17" s="27" t="s">
        <v>80</v>
      </c>
      <c r="Q17" s="27" t="s">
        <v>81</v>
      </c>
      <c r="R17" s="33">
        <v>64133</v>
      </c>
      <c r="S17" s="34">
        <v>42006</v>
      </c>
      <c r="T17" s="34">
        <v>42007</v>
      </c>
      <c r="U17" s="29">
        <v>-7.58</v>
      </c>
      <c r="V17" s="26">
        <v>3</v>
      </c>
      <c r="W17" s="29">
        <v>485.01</v>
      </c>
      <c r="X17" s="26">
        <v>88174</v>
      </c>
      <c r="Y17" s="35">
        <v>291.73</v>
      </c>
      <c r="Z17" s="1" t="s">
        <v>3012</v>
      </c>
      <c r="AA17" s="36">
        <v>29.079000000000001</v>
      </c>
      <c r="AB17" s="54">
        <v>164.90339999999998</v>
      </c>
      <c r="AC17" s="54">
        <v>106.70219999999999</v>
      </c>
      <c r="AD17" s="36">
        <v>443.52100000000002</v>
      </c>
    </row>
    <row r="18" spans="1:30" s="37" customFormat="1" ht="15.75" customHeight="1" x14ac:dyDescent="0.2">
      <c r="A18" s="26">
        <v>2256</v>
      </c>
      <c r="B18" s="27" t="s">
        <v>93</v>
      </c>
      <c r="C18" s="27" t="s">
        <v>26</v>
      </c>
      <c r="D18" s="28">
        <v>7.0000000000000007E-2</v>
      </c>
      <c r="E18" s="29">
        <v>60.97</v>
      </c>
      <c r="F18" s="29">
        <v>4.5</v>
      </c>
      <c r="G18" s="30" t="s">
        <v>87</v>
      </c>
      <c r="H18" s="27" t="s">
        <v>94</v>
      </c>
      <c r="I18" s="27" t="s">
        <v>49</v>
      </c>
      <c r="J18" s="27" t="s">
        <v>95</v>
      </c>
      <c r="K18" s="27" t="s">
        <v>73</v>
      </c>
      <c r="L18" s="31" t="s">
        <v>96</v>
      </c>
      <c r="M18" s="32">
        <v>0.56000000000000005</v>
      </c>
      <c r="N18" s="27" t="s">
        <v>33</v>
      </c>
      <c r="O18" s="27" t="s">
        <v>34</v>
      </c>
      <c r="P18" s="27" t="s">
        <v>97</v>
      </c>
      <c r="Q18" s="27" t="s">
        <v>98</v>
      </c>
      <c r="R18" s="33">
        <v>28560</v>
      </c>
      <c r="S18" s="34">
        <v>42006</v>
      </c>
      <c r="T18" s="34">
        <v>42008</v>
      </c>
      <c r="U18" s="29">
        <v>-42.588000000000001</v>
      </c>
      <c r="V18" s="26">
        <v>6</v>
      </c>
      <c r="W18" s="29">
        <v>361.72</v>
      </c>
      <c r="X18" s="26">
        <v>87963</v>
      </c>
      <c r="Y18" s="35">
        <v>100.91000000000001</v>
      </c>
      <c r="Z18" s="1" t="s">
        <v>3011</v>
      </c>
      <c r="AA18" s="36">
        <v>25.607399999999998</v>
      </c>
      <c r="AB18" s="54">
        <v>159.1568</v>
      </c>
      <c r="AC18" s="54">
        <v>33.760533333333335</v>
      </c>
      <c r="AD18" s="36">
        <v>374.20060000000001</v>
      </c>
    </row>
    <row r="19" spans="1:30" s="37" customFormat="1" ht="15.75" customHeight="1" x14ac:dyDescent="0.2">
      <c r="A19" s="26">
        <v>1155</v>
      </c>
      <c r="B19" s="27" t="s">
        <v>86</v>
      </c>
      <c r="C19" s="27" t="s">
        <v>26</v>
      </c>
      <c r="D19" s="28">
        <v>0.08</v>
      </c>
      <c r="E19" s="29">
        <v>15.04</v>
      </c>
      <c r="F19" s="29">
        <v>1.97</v>
      </c>
      <c r="G19" s="30" t="s">
        <v>39</v>
      </c>
      <c r="H19" s="27" t="s">
        <v>40</v>
      </c>
      <c r="I19" s="27" t="s">
        <v>49</v>
      </c>
      <c r="J19" s="27" t="s">
        <v>88</v>
      </c>
      <c r="K19" s="27" t="s">
        <v>51</v>
      </c>
      <c r="L19" s="31" t="s">
        <v>92</v>
      </c>
      <c r="M19" s="32">
        <v>0.39</v>
      </c>
      <c r="N19" s="27" t="s">
        <v>33</v>
      </c>
      <c r="O19" s="27" t="s">
        <v>60</v>
      </c>
      <c r="P19" s="27" t="s">
        <v>90</v>
      </c>
      <c r="Q19" s="27" t="s">
        <v>91</v>
      </c>
      <c r="R19" s="33">
        <v>90640</v>
      </c>
      <c r="S19" s="34">
        <v>42006</v>
      </c>
      <c r="T19" s="34">
        <v>42006</v>
      </c>
      <c r="U19" s="29">
        <v>108.5163</v>
      </c>
      <c r="V19" s="26">
        <v>11</v>
      </c>
      <c r="W19" s="29">
        <v>157.27000000000001</v>
      </c>
      <c r="X19" s="26">
        <v>90853</v>
      </c>
      <c r="Y19" s="35">
        <v>155.01</v>
      </c>
      <c r="Z19" s="1" t="s">
        <v>3013</v>
      </c>
      <c r="AA19" s="36">
        <v>13.235200000000001</v>
      </c>
      <c r="AB19" s="54">
        <v>95.934700000000007</v>
      </c>
      <c r="AC19" s="54">
        <v>5.5759363636363641</v>
      </c>
      <c r="AD19" s="36">
        <v>33.548500000000004</v>
      </c>
    </row>
    <row r="20" spans="1:30" s="37" customFormat="1" ht="15.75" customHeight="1" x14ac:dyDescent="0.2">
      <c r="A20" s="26">
        <v>949</v>
      </c>
      <c r="B20" s="27" t="s">
        <v>99</v>
      </c>
      <c r="C20" s="27" t="s">
        <v>26</v>
      </c>
      <c r="D20" s="28">
        <v>0.06</v>
      </c>
      <c r="E20" s="29">
        <v>40.98</v>
      </c>
      <c r="F20" s="29">
        <v>2.99</v>
      </c>
      <c r="G20" s="30" t="s">
        <v>39</v>
      </c>
      <c r="H20" s="27" t="s">
        <v>40</v>
      </c>
      <c r="I20" s="27" t="s">
        <v>49</v>
      </c>
      <c r="J20" s="27" t="s">
        <v>72</v>
      </c>
      <c r="K20" s="27" t="s">
        <v>73</v>
      </c>
      <c r="L20" s="31" t="s">
        <v>83</v>
      </c>
      <c r="M20" s="32">
        <v>0.36</v>
      </c>
      <c r="N20" s="27" t="s">
        <v>33</v>
      </c>
      <c r="O20" s="27" t="s">
        <v>60</v>
      </c>
      <c r="P20" s="27" t="s">
        <v>90</v>
      </c>
      <c r="Q20" s="27" t="s">
        <v>100</v>
      </c>
      <c r="R20" s="33">
        <v>90049</v>
      </c>
      <c r="S20" s="34">
        <v>42006</v>
      </c>
      <c r="T20" s="34">
        <v>42008</v>
      </c>
      <c r="U20" s="29">
        <v>-19.0992</v>
      </c>
      <c r="V20" s="26">
        <v>3</v>
      </c>
      <c r="W20" s="29">
        <v>124.81</v>
      </c>
      <c r="X20" s="26">
        <v>9285</v>
      </c>
      <c r="Y20" s="35">
        <v>100.93</v>
      </c>
      <c r="Z20" s="1" t="s">
        <v>3013</v>
      </c>
      <c r="AA20" s="36">
        <v>7.3763999999999985</v>
      </c>
      <c r="AB20" s="54">
        <v>79.878399999999999</v>
      </c>
      <c r="AC20" s="54">
        <v>14.977199999999998</v>
      </c>
      <c r="AD20" s="36">
        <v>133.5428</v>
      </c>
    </row>
    <row r="21" spans="1:30" s="37" customFormat="1" ht="15.75" customHeight="1" x14ac:dyDescent="0.2">
      <c r="A21" s="26">
        <v>258</v>
      </c>
      <c r="B21" s="27" t="s">
        <v>121</v>
      </c>
      <c r="C21" s="27" t="s">
        <v>116</v>
      </c>
      <c r="D21" s="28">
        <v>0.05</v>
      </c>
      <c r="E21" s="29">
        <v>17.48</v>
      </c>
      <c r="F21" s="29">
        <v>1.99</v>
      </c>
      <c r="G21" s="30" t="s">
        <v>39</v>
      </c>
      <c r="H21" s="27" t="s">
        <v>40</v>
      </c>
      <c r="I21" s="27" t="s">
        <v>41</v>
      </c>
      <c r="J21" s="27" t="s">
        <v>42</v>
      </c>
      <c r="K21" s="27" t="s">
        <v>43</v>
      </c>
      <c r="L21" s="31" t="s">
        <v>122</v>
      </c>
      <c r="M21" s="32">
        <v>0.45</v>
      </c>
      <c r="N21" s="27" t="s">
        <v>33</v>
      </c>
      <c r="O21" s="27" t="s">
        <v>34</v>
      </c>
      <c r="P21" s="27" t="s">
        <v>123</v>
      </c>
      <c r="Q21" s="27" t="s">
        <v>124</v>
      </c>
      <c r="R21" s="33">
        <v>33772</v>
      </c>
      <c r="S21" s="34">
        <v>42006</v>
      </c>
      <c r="T21" s="34">
        <v>42008</v>
      </c>
      <c r="U21" s="29">
        <v>-127.008</v>
      </c>
      <c r="V21" s="26">
        <v>3</v>
      </c>
      <c r="W21" s="29">
        <v>52.47</v>
      </c>
      <c r="X21" s="26">
        <v>85858</v>
      </c>
      <c r="Y21" s="35">
        <v>4.9600000000000009</v>
      </c>
      <c r="Z21" s="1" t="s">
        <v>3011</v>
      </c>
      <c r="AA21" s="36">
        <v>2.6220000000000003</v>
      </c>
      <c r="AB21" s="54">
        <v>28.858500000000003</v>
      </c>
      <c r="AC21" s="54">
        <v>7.8704999999999998</v>
      </c>
      <c r="AD21" s="36">
        <v>174.86599999999999</v>
      </c>
    </row>
    <row r="22" spans="1:30" s="37" customFormat="1" ht="15.75" customHeight="1" x14ac:dyDescent="0.2">
      <c r="A22" s="26">
        <v>164</v>
      </c>
      <c r="B22" s="27" t="s">
        <v>115</v>
      </c>
      <c r="C22" s="27" t="s">
        <v>116</v>
      </c>
      <c r="D22" s="28">
        <v>0.02</v>
      </c>
      <c r="E22" s="29">
        <v>4.9800000000000004</v>
      </c>
      <c r="F22" s="29">
        <v>5.49</v>
      </c>
      <c r="G22" s="30" t="s">
        <v>39</v>
      </c>
      <c r="H22" s="27" t="s">
        <v>71</v>
      </c>
      <c r="I22" s="27" t="s">
        <v>49</v>
      </c>
      <c r="J22" s="27" t="s">
        <v>88</v>
      </c>
      <c r="K22" s="27" t="s">
        <v>73</v>
      </c>
      <c r="L22" s="31" t="s">
        <v>120</v>
      </c>
      <c r="M22" s="32">
        <v>0.38</v>
      </c>
      <c r="N22" s="27" t="s">
        <v>33</v>
      </c>
      <c r="O22" s="27" t="s">
        <v>60</v>
      </c>
      <c r="P22" s="27" t="s">
        <v>67</v>
      </c>
      <c r="Q22" s="27" t="s">
        <v>119</v>
      </c>
      <c r="R22" s="33">
        <v>99352</v>
      </c>
      <c r="S22" s="34">
        <v>42006</v>
      </c>
      <c r="T22" s="34">
        <v>42007</v>
      </c>
      <c r="U22" s="29">
        <v>-77.03</v>
      </c>
      <c r="V22" s="26">
        <v>9</v>
      </c>
      <c r="W22" s="29">
        <v>45.63</v>
      </c>
      <c r="X22" s="26">
        <v>89961</v>
      </c>
      <c r="Y22" s="35">
        <v>17.43</v>
      </c>
      <c r="Z22" s="1" t="s">
        <v>3013</v>
      </c>
      <c r="AA22" s="36">
        <v>0.89640000000000009</v>
      </c>
      <c r="AB22" s="54">
        <v>28.290600000000001</v>
      </c>
      <c r="AC22" s="54">
        <v>1.9266000000000001</v>
      </c>
      <c r="AD22" s="36">
        <v>116.27360000000002</v>
      </c>
    </row>
    <row r="23" spans="1:30" s="37" customFormat="1" ht="15.75" customHeight="1" x14ac:dyDescent="0.2">
      <c r="A23" s="26">
        <v>950</v>
      </c>
      <c r="B23" s="27" t="s">
        <v>82</v>
      </c>
      <c r="C23" s="27" t="s">
        <v>26</v>
      </c>
      <c r="D23" s="28">
        <v>0.06</v>
      </c>
      <c r="E23" s="29">
        <v>40.98</v>
      </c>
      <c r="F23" s="29">
        <v>2.99</v>
      </c>
      <c r="G23" s="30" t="s">
        <v>39</v>
      </c>
      <c r="H23" s="27" t="s">
        <v>40</v>
      </c>
      <c r="I23" s="27" t="s">
        <v>49</v>
      </c>
      <c r="J23" s="27" t="s">
        <v>72</v>
      </c>
      <c r="K23" s="27" t="s">
        <v>73</v>
      </c>
      <c r="L23" s="31" t="s">
        <v>83</v>
      </c>
      <c r="M23" s="32">
        <v>0.36</v>
      </c>
      <c r="N23" s="27" t="s">
        <v>33</v>
      </c>
      <c r="O23" s="27" t="s">
        <v>53</v>
      </c>
      <c r="P23" s="27" t="s">
        <v>84</v>
      </c>
      <c r="Q23" s="27" t="s">
        <v>85</v>
      </c>
      <c r="R23" s="33">
        <v>55372</v>
      </c>
      <c r="S23" s="34">
        <v>42006</v>
      </c>
      <c r="T23" s="34">
        <v>42008</v>
      </c>
      <c r="U23" s="29">
        <v>-14.801880000000001</v>
      </c>
      <c r="V23" s="26">
        <v>1</v>
      </c>
      <c r="W23" s="29">
        <v>41.6</v>
      </c>
      <c r="X23" s="26">
        <v>89083</v>
      </c>
      <c r="Y23" s="35">
        <v>99.19</v>
      </c>
      <c r="Z23" s="1" t="s">
        <v>3012</v>
      </c>
      <c r="AA23" s="36">
        <v>2.4587999999999997</v>
      </c>
      <c r="AB23" s="54">
        <v>26.624000000000002</v>
      </c>
      <c r="AC23" s="54">
        <v>14.975999999999999</v>
      </c>
      <c r="AD23" s="36">
        <v>50.95308</v>
      </c>
    </row>
    <row r="24" spans="1:30" s="37" customFormat="1" ht="15.75" customHeight="1" x14ac:dyDescent="0.2">
      <c r="A24" s="26">
        <v>1155</v>
      </c>
      <c r="B24" s="27" t="s">
        <v>86</v>
      </c>
      <c r="C24" s="27" t="s">
        <v>26</v>
      </c>
      <c r="D24" s="28">
        <v>0.09</v>
      </c>
      <c r="E24" s="29">
        <v>9.11</v>
      </c>
      <c r="F24" s="29">
        <v>2.15</v>
      </c>
      <c r="G24" s="30" t="s">
        <v>87</v>
      </c>
      <c r="H24" s="27" t="s">
        <v>40</v>
      </c>
      <c r="I24" s="27" t="s">
        <v>49</v>
      </c>
      <c r="J24" s="27" t="s">
        <v>88</v>
      </c>
      <c r="K24" s="27" t="s">
        <v>51</v>
      </c>
      <c r="L24" s="31" t="s">
        <v>89</v>
      </c>
      <c r="M24" s="32">
        <v>0.4</v>
      </c>
      <c r="N24" s="27" t="s">
        <v>33</v>
      </c>
      <c r="O24" s="27" t="s">
        <v>60</v>
      </c>
      <c r="P24" s="27" t="s">
        <v>90</v>
      </c>
      <c r="Q24" s="27" t="s">
        <v>91</v>
      </c>
      <c r="R24" s="33">
        <v>90640</v>
      </c>
      <c r="S24" s="34">
        <v>42006</v>
      </c>
      <c r="T24" s="34">
        <v>42008</v>
      </c>
      <c r="U24" s="29">
        <v>20.299600000000002</v>
      </c>
      <c r="V24" s="26">
        <v>4</v>
      </c>
      <c r="W24" s="29">
        <v>34.409999999999997</v>
      </c>
      <c r="X24" s="26">
        <v>90853</v>
      </c>
      <c r="Y24" s="35">
        <v>99.19</v>
      </c>
      <c r="Z24" s="1" t="s">
        <v>3013</v>
      </c>
      <c r="AA24" s="36">
        <v>3.2795999999999998</v>
      </c>
      <c r="AB24" s="54">
        <v>20.645999999999997</v>
      </c>
      <c r="AC24" s="54">
        <v>3.4409999999999998</v>
      </c>
      <c r="AD24" s="36">
        <v>8.6807999999999979</v>
      </c>
    </row>
    <row r="25" spans="1:30" s="37" customFormat="1" ht="15.75" customHeight="1" x14ac:dyDescent="0.2">
      <c r="A25" s="26">
        <v>169</v>
      </c>
      <c r="B25" s="27" t="s">
        <v>166</v>
      </c>
      <c r="C25" s="27" t="s">
        <v>48</v>
      </c>
      <c r="D25" s="28">
        <v>0.05</v>
      </c>
      <c r="E25" s="29">
        <v>574.74</v>
      </c>
      <c r="F25" s="29">
        <v>24.49</v>
      </c>
      <c r="G25" s="30" t="s">
        <v>39</v>
      </c>
      <c r="H25" s="27" t="s">
        <v>94</v>
      </c>
      <c r="I25" s="27" t="s">
        <v>41</v>
      </c>
      <c r="J25" s="27" t="s">
        <v>57</v>
      </c>
      <c r="K25" s="27" t="s">
        <v>65</v>
      </c>
      <c r="L25" s="31" t="s">
        <v>170</v>
      </c>
      <c r="M25" s="32">
        <v>0.37</v>
      </c>
      <c r="N25" s="27" t="s">
        <v>33</v>
      </c>
      <c r="O25" s="27" t="s">
        <v>34</v>
      </c>
      <c r="P25" s="27" t="s">
        <v>168</v>
      </c>
      <c r="Q25" s="27" t="s">
        <v>169</v>
      </c>
      <c r="R25" s="33">
        <v>70802</v>
      </c>
      <c r="S25" s="34">
        <v>42007</v>
      </c>
      <c r="T25" s="34">
        <v>42014</v>
      </c>
      <c r="U25" s="29">
        <v>-112.4263</v>
      </c>
      <c r="V25" s="26">
        <v>12</v>
      </c>
      <c r="W25" s="29">
        <v>6945.16</v>
      </c>
      <c r="X25" s="26">
        <v>87463</v>
      </c>
      <c r="Y25" s="35">
        <v>5.25</v>
      </c>
      <c r="Z25" s="1" t="s">
        <v>3011</v>
      </c>
      <c r="AA25" s="36">
        <v>344.84400000000005</v>
      </c>
      <c r="AB25" s="54">
        <v>4375.4507999999996</v>
      </c>
      <c r="AC25" s="54">
        <v>214.14243333333332</v>
      </c>
      <c r="AD25" s="36">
        <v>6688.2523000000001</v>
      </c>
    </row>
    <row r="26" spans="1:30" s="37" customFormat="1" ht="15.75" customHeight="1" x14ac:dyDescent="0.2">
      <c r="A26" s="26">
        <v>2303</v>
      </c>
      <c r="B26" s="27" t="s">
        <v>156</v>
      </c>
      <c r="C26" s="27" t="s">
        <v>38</v>
      </c>
      <c r="D26" s="28">
        <v>0.1</v>
      </c>
      <c r="E26" s="29">
        <v>146.34</v>
      </c>
      <c r="F26" s="29">
        <v>43.75</v>
      </c>
      <c r="G26" s="30" t="s">
        <v>27</v>
      </c>
      <c r="H26" s="27" t="s">
        <v>94</v>
      </c>
      <c r="I26" s="27" t="s">
        <v>29</v>
      </c>
      <c r="J26" s="27" t="s">
        <v>30</v>
      </c>
      <c r="K26" s="27" t="s">
        <v>31</v>
      </c>
      <c r="L26" s="31" t="s">
        <v>155</v>
      </c>
      <c r="M26" s="32">
        <v>0.64</v>
      </c>
      <c r="N26" s="27" t="s">
        <v>33</v>
      </c>
      <c r="O26" s="27" t="s">
        <v>111</v>
      </c>
      <c r="P26" s="27" t="s">
        <v>112</v>
      </c>
      <c r="Q26" s="27" t="s">
        <v>113</v>
      </c>
      <c r="R26" s="33">
        <v>10011</v>
      </c>
      <c r="S26" s="34">
        <v>42007</v>
      </c>
      <c r="T26" s="34">
        <v>42008</v>
      </c>
      <c r="U26" s="29">
        <v>-270.85000000000002</v>
      </c>
      <c r="V26" s="26">
        <v>6</v>
      </c>
      <c r="W26" s="29">
        <v>850.64</v>
      </c>
      <c r="X26" s="26">
        <v>37987</v>
      </c>
      <c r="Y26" s="35">
        <v>110.97999999999999</v>
      </c>
      <c r="Z26" s="1" t="s">
        <v>3014</v>
      </c>
      <c r="AA26" s="36">
        <v>87.804000000000002</v>
      </c>
      <c r="AB26" s="54">
        <v>306.23039999999997</v>
      </c>
      <c r="AC26" s="54">
        <v>90.734933333333345</v>
      </c>
      <c r="AD26" s="36">
        <v>989.93600000000004</v>
      </c>
    </row>
    <row r="27" spans="1:30" s="37" customFormat="1" ht="15.75" customHeight="1" x14ac:dyDescent="0.2">
      <c r="A27" s="26">
        <v>2460</v>
      </c>
      <c r="B27" s="27" t="s">
        <v>160</v>
      </c>
      <c r="C27" s="27" t="s">
        <v>38</v>
      </c>
      <c r="D27" s="28">
        <v>7.0000000000000007E-2</v>
      </c>
      <c r="E27" s="29">
        <v>9.93</v>
      </c>
      <c r="F27" s="29">
        <v>1.0900000000000001</v>
      </c>
      <c r="G27" s="30" t="s">
        <v>39</v>
      </c>
      <c r="H27" s="27" t="s">
        <v>71</v>
      </c>
      <c r="I27" s="27" t="s">
        <v>49</v>
      </c>
      <c r="J27" s="27" t="s">
        <v>50</v>
      </c>
      <c r="K27" s="27" t="s">
        <v>51</v>
      </c>
      <c r="L27" s="31" t="s">
        <v>161</v>
      </c>
      <c r="M27" s="32">
        <v>0.43</v>
      </c>
      <c r="N27" s="27" t="s">
        <v>33</v>
      </c>
      <c r="O27" s="27" t="s">
        <v>111</v>
      </c>
      <c r="P27" s="27" t="s">
        <v>112</v>
      </c>
      <c r="Q27" s="27" t="s">
        <v>113</v>
      </c>
      <c r="R27" s="33">
        <v>10035</v>
      </c>
      <c r="S27" s="34">
        <v>42007</v>
      </c>
      <c r="T27" s="34">
        <v>42010</v>
      </c>
      <c r="U27" s="29">
        <v>149.53</v>
      </c>
      <c r="V27" s="26">
        <v>46</v>
      </c>
      <c r="W27" s="29">
        <v>451.61</v>
      </c>
      <c r="X27" s="26">
        <v>30785</v>
      </c>
      <c r="Y27" s="35">
        <v>4.2299999999999995</v>
      </c>
      <c r="Z27" s="1" t="s">
        <v>3014</v>
      </c>
      <c r="AA27" s="36">
        <v>31.974600000000002</v>
      </c>
      <c r="AB27" s="54">
        <v>257.41770000000002</v>
      </c>
      <c r="AC27" s="54">
        <v>4.221571739130435</v>
      </c>
      <c r="AD27" s="36">
        <v>269.0154</v>
      </c>
    </row>
    <row r="28" spans="1:30" s="37" customFormat="1" ht="15.75" customHeight="1" x14ac:dyDescent="0.2">
      <c r="A28" s="26">
        <v>2131</v>
      </c>
      <c r="B28" s="27" t="s">
        <v>148</v>
      </c>
      <c r="C28" s="27" t="s">
        <v>38</v>
      </c>
      <c r="D28" s="28">
        <v>0.09</v>
      </c>
      <c r="E28" s="29">
        <v>150.97999999999999</v>
      </c>
      <c r="F28" s="29">
        <v>66.27</v>
      </c>
      <c r="G28" s="30" t="s">
        <v>27</v>
      </c>
      <c r="H28" s="27" t="s">
        <v>71</v>
      </c>
      <c r="I28" s="27" t="s">
        <v>29</v>
      </c>
      <c r="J28" s="27" t="s">
        <v>117</v>
      </c>
      <c r="K28" s="27" t="s">
        <v>31</v>
      </c>
      <c r="L28" s="31" t="s">
        <v>149</v>
      </c>
      <c r="M28" s="32">
        <v>0.65</v>
      </c>
      <c r="N28" s="27" t="s">
        <v>33</v>
      </c>
      <c r="O28" s="27" t="s">
        <v>53</v>
      </c>
      <c r="P28" s="27" t="s">
        <v>80</v>
      </c>
      <c r="Q28" s="27" t="s">
        <v>150</v>
      </c>
      <c r="R28" s="33">
        <v>64118</v>
      </c>
      <c r="S28" s="34">
        <v>42007</v>
      </c>
      <c r="T28" s="34">
        <v>42008</v>
      </c>
      <c r="U28" s="29">
        <v>-407.85</v>
      </c>
      <c r="V28" s="26">
        <v>2</v>
      </c>
      <c r="W28" s="29">
        <v>302.33999999999997</v>
      </c>
      <c r="X28" s="26">
        <v>90079</v>
      </c>
      <c r="Y28" s="35">
        <v>4.2299999999999995</v>
      </c>
      <c r="Z28" s="1" t="s">
        <v>3012</v>
      </c>
      <c r="AA28" s="36">
        <v>27.176399999999997</v>
      </c>
      <c r="AB28" s="54">
        <v>105.81899999999999</v>
      </c>
      <c r="AC28" s="54">
        <v>98.260499999999993</v>
      </c>
      <c r="AD28" s="36">
        <v>616.74360000000001</v>
      </c>
    </row>
    <row r="29" spans="1:30" s="37" customFormat="1" ht="15.75" customHeight="1" x14ac:dyDescent="0.2">
      <c r="A29" s="26">
        <v>2302</v>
      </c>
      <c r="B29" s="27" t="s">
        <v>151</v>
      </c>
      <c r="C29" s="27" t="s">
        <v>38</v>
      </c>
      <c r="D29" s="28">
        <v>0.1</v>
      </c>
      <c r="E29" s="29">
        <v>146.34</v>
      </c>
      <c r="F29" s="29">
        <v>43.75</v>
      </c>
      <c r="G29" s="30" t="s">
        <v>27</v>
      </c>
      <c r="H29" s="27" t="s">
        <v>94</v>
      </c>
      <c r="I29" s="27" t="s">
        <v>29</v>
      </c>
      <c r="J29" s="27" t="s">
        <v>30</v>
      </c>
      <c r="K29" s="27" t="s">
        <v>31</v>
      </c>
      <c r="L29" s="31" t="s">
        <v>155</v>
      </c>
      <c r="M29" s="32">
        <v>0.64</v>
      </c>
      <c r="N29" s="27" t="s">
        <v>33</v>
      </c>
      <c r="O29" s="27" t="s">
        <v>34</v>
      </c>
      <c r="P29" s="27" t="s">
        <v>123</v>
      </c>
      <c r="Q29" s="27" t="s">
        <v>154</v>
      </c>
      <c r="R29" s="33">
        <v>32404</v>
      </c>
      <c r="S29" s="34">
        <v>42007</v>
      </c>
      <c r="T29" s="34">
        <v>42008</v>
      </c>
      <c r="U29" s="29">
        <v>-473.57799999999997</v>
      </c>
      <c r="V29" s="26">
        <v>2</v>
      </c>
      <c r="W29" s="29">
        <v>283.55</v>
      </c>
      <c r="X29" s="26">
        <v>87696</v>
      </c>
      <c r="Y29" s="35">
        <v>20.93</v>
      </c>
      <c r="Z29" s="1" t="s">
        <v>3011</v>
      </c>
      <c r="AA29" s="36">
        <v>29.268000000000001</v>
      </c>
      <c r="AB29" s="54">
        <v>102.078</v>
      </c>
      <c r="AC29" s="54">
        <v>90.736000000000004</v>
      </c>
      <c r="AD29" s="36">
        <v>684.1099999999999</v>
      </c>
    </row>
    <row r="30" spans="1:30" s="37" customFormat="1" ht="15.75" customHeight="1" x14ac:dyDescent="0.2">
      <c r="A30" s="26">
        <v>193</v>
      </c>
      <c r="B30" s="27" t="s">
        <v>179</v>
      </c>
      <c r="C30" s="27" t="s">
        <v>3094</v>
      </c>
      <c r="D30" s="28">
        <v>0</v>
      </c>
      <c r="E30" s="29">
        <v>213.45</v>
      </c>
      <c r="F30" s="29">
        <v>14.7</v>
      </c>
      <c r="G30" s="30" t="s">
        <v>27</v>
      </c>
      <c r="H30" s="27" t="s">
        <v>94</v>
      </c>
      <c r="I30" s="27" t="s">
        <v>41</v>
      </c>
      <c r="J30" s="27" t="s">
        <v>57</v>
      </c>
      <c r="K30" s="27" t="s">
        <v>58</v>
      </c>
      <c r="L30" s="31" t="s">
        <v>180</v>
      </c>
      <c r="M30" s="32">
        <v>0.59</v>
      </c>
      <c r="N30" s="27" t="s">
        <v>33</v>
      </c>
      <c r="O30" s="27" t="s">
        <v>60</v>
      </c>
      <c r="P30" s="27" t="s">
        <v>146</v>
      </c>
      <c r="Q30" s="27" t="s">
        <v>181</v>
      </c>
      <c r="R30" s="33">
        <v>84041</v>
      </c>
      <c r="S30" s="34">
        <v>42007</v>
      </c>
      <c r="T30" s="34">
        <v>42009</v>
      </c>
      <c r="U30" s="29">
        <v>-560.81417999999996</v>
      </c>
      <c r="V30" s="26">
        <v>1</v>
      </c>
      <c r="W30" s="29">
        <v>224.12</v>
      </c>
      <c r="X30" s="26">
        <v>90430</v>
      </c>
      <c r="Y30" s="35">
        <v>150.88999999999999</v>
      </c>
      <c r="Z30" s="1" t="s">
        <v>3013</v>
      </c>
      <c r="AA30" s="36">
        <v>0</v>
      </c>
      <c r="AB30" s="54">
        <v>91.889200000000002</v>
      </c>
      <c r="AC30" s="54">
        <v>132.23079999999999</v>
      </c>
      <c r="AD30" s="36">
        <v>770.23417999999992</v>
      </c>
    </row>
    <row r="31" spans="1:30" s="37" customFormat="1" ht="15.75" customHeight="1" x14ac:dyDescent="0.2">
      <c r="A31" s="26">
        <v>388</v>
      </c>
      <c r="B31" s="27" t="s">
        <v>131</v>
      </c>
      <c r="C31" s="27" t="s">
        <v>26</v>
      </c>
      <c r="D31" s="28">
        <v>0.01</v>
      </c>
      <c r="E31" s="29">
        <v>110.99</v>
      </c>
      <c r="F31" s="29">
        <v>2.5</v>
      </c>
      <c r="G31" s="30" t="s">
        <v>39</v>
      </c>
      <c r="H31" s="27" t="s">
        <v>94</v>
      </c>
      <c r="I31" s="27" t="s">
        <v>41</v>
      </c>
      <c r="J31" s="27" t="s">
        <v>135</v>
      </c>
      <c r="K31" s="27" t="s">
        <v>73</v>
      </c>
      <c r="L31" s="31" t="s">
        <v>136</v>
      </c>
      <c r="M31" s="32">
        <v>0.56999999999999995</v>
      </c>
      <c r="N31" s="27" t="s">
        <v>33</v>
      </c>
      <c r="O31" s="27" t="s">
        <v>53</v>
      </c>
      <c r="P31" s="27" t="s">
        <v>133</v>
      </c>
      <c r="Q31" s="27" t="s">
        <v>134</v>
      </c>
      <c r="R31" s="33">
        <v>68847</v>
      </c>
      <c r="S31" s="34">
        <v>42007</v>
      </c>
      <c r="T31" s="34">
        <v>42010</v>
      </c>
      <c r="U31" s="29">
        <v>-263.56572</v>
      </c>
      <c r="V31" s="26">
        <v>2</v>
      </c>
      <c r="W31" s="29">
        <v>188.66</v>
      </c>
      <c r="X31" s="26">
        <v>90337</v>
      </c>
      <c r="Y31" s="35">
        <v>12.43</v>
      </c>
      <c r="Z31" s="1" t="s">
        <v>3012</v>
      </c>
      <c r="AA31" s="36">
        <v>2.2197999999999998</v>
      </c>
      <c r="AB31" s="54">
        <v>81.123800000000003</v>
      </c>
      <c r="AC31" s="54">
        <v>53.768099999999997</v>
      </c>
      <c r="AD31" s="36">
        <v>447.50591999999995</v>
      </c>
    </row>
    <row r="32" spans="1:30" s="37" customFormat="1" ht="15.75" customHeight="1" x14ac:dyDescent="0.2">
      <c r="A32" s="26">
        <v>2579</v>
      </c>
      <c r="B32" s="27" t="s">
        <v>162</v>
      </c>
      <c r="C32" s="27" t="s">
        <v>38</v>
      </c>
      <c r="D32" s="28">
        <v>0.09</v>
      </c>
      <c r="E32" s="29">
        <v>212.6</v>
      </c>
      <c r="F32" s="29">
        <v>52.2</v>
      </c>
      <c r="G32" s="30" t="s">
        <v>27</v>
      </c>
      <c r="H32" s="27" t="s">
        <v>71</v>
      </c>
      <c r="I32" s="27" t="s">
        <v>29</v>
      </c>
      <c r="J32" s="27" t="s">
        <v>30</v>
      </c>
      <c r="K32" s="27" t="s">
        <v>31</v>
      </c>
      <c r="L32" s="31" t="s">
        <v>163</v>
      </c>
      <c r="M32" s="32">
        <v>0.64</v>
      </c>
      <c r="N32" s="27" t="s">
        <v>33</v>
      </c>
      <c r="O32" s="27" t="s">
        <v>34</v>
      </c>
      <c r="P32" s="27" t="s">
        <v>164</v>
      </c>
      <c r="Q32" s="27" t="s">
        <v>165</v>
      </c>
      <c r="R32" s="33">
        <v>36869</v>
      </c>
      <c r="S32" s="34">
        <v>42007</v>
      </c>
      <c r="T32" s="34">
        <v>42008</v>
      </c>
      <c r="U32" s="29">
        <v>-274.49799999999999</v>
      </c>
      <c r="V32" s="26">
        <v>1</v>
      </c>
      <c r="W32" s="29">
        <v>174.5</v>
      </c>
      <c r="X32" s="26">
        <v>88296</v>
      </c>
      <c r="Y32" s="35">
        <v>146.24</v>
      </c>
      <c r="Z32" s="1" t="s">
        <v>3011</v>
      </c>
      <c r="AA32" s="36">
        <v>19.134</v>
      </c>
      <c r="AB32" s="54">
        <v>62.82</v>
      </c>
      <c r="AC32" s="54">
        <v>111.68</v>
      </c>
      <c r="AD32" s="36">
        <v>377.66399999999999</v>
      </c>
    </row>
    <row r="33" spans="1:30" s="37" customFormat="1" ht="15.75" customHeight="1" x14ac:dyDescent="0.2">
      <c r="A33" s="26">
        <v>1777</v>
      </c>
      <c r="B33" s="27" t="s">
        <v>172</v>
      </c>
      <c r="C33" s="27" t="s">
        <v>48</v>
      </c>
      <c r="D33" s="28">
        <v>0.02</v>
      </c>
      <c r="E33" s="29">
        <v>10.06</v>
      </c>
      <c r="F33" s="29">
        <v>2.06</v>
      </c>
      <c r="G33" s="30" t="s">
        <v>39</v>
      </c>
      <c r="H33" s="27" t="s">
        <v>40</v>
      </c>
      <c r="I33" s="27" t="s">
        <v>49</v>
      </c>
      <c r="J33" s="27" t="s">
        <v>88</v>
      </c>
      <c r="K33" s="27" t="s">
        <v>51</v>
      </c>
      <c r="L33" s="31" t="s">
        <v>173</v>
      </c>
      <c r="M33" s="32">
        <v>0.39</v>
      </c>
      <c r="N33" s="27" t="s">
        <v>33</v>
      </c>
      <c r="O33" s="27" t="s">
        <v>53</v>
      </c>
      <c r="P33" s="27" t="s">
        <v>54</v>
      </c>
      <c r="Q33" s="27" t="s">
        <v>174</v>
      </c>
      <c r="R33" s="33">
        <v>46383</v>
      </c>
      <c r="S33" s="34">
        <v>42007</v>
      </c>
      <c r="T33" s="34">
        <v>42012</v>
      </c>
      <c r="U33" s="29">
        <v>90.624600000000001</v>
      </c>
      <c r="V33" s="26">
        <v>13</v>
      </c>
      <c r="W33" s="29">
        <v>131.34</v>
      </c>
      <c r="X33" s="26">
        <v>89940</v>
      </c>
      <c r="Y33" s="35">
        <v>146.24</v>
      </c>
      <c r="Z33" s="1" t="s">
        <v>3012</v>
      </c>
      <c r="AA33" s="36">
        <v>2.6156000000000001</v>
      </c>
      <c r="AB33" s="54">
        <v>80.117400000000004</v>
      </c>
      <c r="AC33" s="54">
        <v>3.9401999999999999</v>
      </c>
      <c r="AD33" s="36">
        <v>36.0398</v>
      </c>
    </row>
    <row r="34" spans="1:30" s="37" customFormat="1" ht="15.75" customHeight="1" x14ac:dyDescent="0.2">
      <c r="A34" s="26">
        <v>169</v>
      </c>
      <c r="B34" s="27" t="s">
        <v>166</v>
      </c>
      <c r="C34" s="27" t="s">
        <v>48</v>
      </c>
      <c r="D34" s="28">
        <v>0.08</v>
      </c>
      <c r="E34" s="29">
        <v>43.22</v>
      </c>
      <c r="F34" s="29">
        <v>16.71</v>
      </c>
      <c r="G34" s="30" t="s">
        <v>39</v>
      </c>
      <c r="H34" s="27" t="s">
        <v>94</v>
      </c>
      <c r="I34" s="27" t="s">
        <v>41</v>
      </c>
      <c r="J34" s="27" t="s">
        <v>42</v>
      </c>
      <c r="K34" s="27" t="s">
        <v>73</v>
      </c>
      <c r="L34" s="31" t="s">
        <v>167</v>
      </c>
      <c r="M34" s="32">
        <v>0.66</v>
      </c>
      <c r="N34" s="27" t="s">
        <v>33</v>
      </c>
      <c r="O34" s="27" t="s">
        <v>34</v>
      </c>
      <c r="P34" s="27" t="s">
        <v>168</v>
      </c>
      <c r="Q34" s="27" t="s">
        <v>169</v>
      </c>
      <c r="R34" s="33">
        <v>70802</v>
      </c>
      <c r="S34" s="34">
        <v>42007</v>
      </c>
      <c r="T34" s="34">
        <v>42009</v>
      </c>
      <c r="U34" s="29">
        <v>280.27458000000001</v>
      </c>
      <c r="V34" s="26">
        <v>3</v>
      </c>
      <c r="W34" s="29">
        <v>130.62</v>
      </c>
      <c r="X34" s="26">
        <v>87463</v>
      </c>
      <c r="Y34" s="35">
        <v>6.45</v>
      </c>
      <c r="Z34" s="1" t="s">
        <v>3011</v>
      </c>
      <c r="AA34" s="36">
        <v>10.3728</v>
      </c>
      <c r="AB34" s="54">
        <v>44.410799999999995</v>
      </c>
      <c r="AC34" s="54">
        <v>28.7364</v>
      </c>
      <c r="AD34" s="36">
        <v>-176.73737999999997</v>
      </c>
    </row>
    <row r="35" spans="1:30" s="37" customFormat="1" ht="15.75" customHeight="1" x14ac:dyDescent="0.2">
      <c r="A35" s="26">
        <v>117</v>
      </c>
      <c r="B35" s="27" t="s">
        <v>141</v>
      </c>
      <c r="C35" s="27" t="s">
        <v>38</v>
      </c>
      <c r="D35" s="28">
        <v>0.03</v>
      </c>
      <c r="E35" s="29">
        <v>4.26</v>
      </c>
      <c r="F35" s="29">
        <v>1.2</v>
      </c>
      <c r="G35" s="30" t="s">
        <v>39</v>
      </c>
      <c r="H35" s="27" t="s">
        <v>71</v>
      </c>
      <c r="I35" s="27" t="s">
        <v>49</v>
      </c>
      <c r="J35" s="27" t="s">
        <v>50</v>
      </c>
      <c r="K35" s="27" t="s">
        <v>51</v>
      </c>
      <c r="L35" s="31" t="s">
        <v>138</v>
      </c>
      <c r="M35" s="32">
        <v>0.44</v>
      </c>
      <c r="N35" s="27" t="s">
        <v>33</v>
      </c>
      <c r="O35" s="27" t="s">
        <v>60</v>
      </c>
      <c r="P35" s="27" t="s">
        <v>67</v>
      </c>
      <c r="Q35" s="27" t="s">
        <v>142</v>
      </c>
      <c r="R35" s="33">
        <v>98103</v>
      </c>
      <c r="S35" s="34">
        <v>42007</v>
      </c>
      <c r="T35" s="34">
        <v>42008</v>
      </c>
      <c r="U35" s="29">
        <v>9.82</v>
      </c>
      <c r="V35" s="26">
        <v>29</v>
      </c>
      <c r="W35" s="29">
        <v>122.23</v>
      </c>
      <c r="X35" s="26">
        <v>7909</v>
      </c>
      <c r="Y35" s="35">
        <v>6.45</v>
      </c>
      <c r="Z35" s="1" t="s">
        <v>3013</v>
      </c>
      <c r="AA35" s="36">
        <v>3.7061999999999999</v>
      </c>
      <c r="AB35" s="54">
        <v>68.448800000000006</v>
      </c>
      <c r="AC35" s="54">
        <v>1.8545241379310347</v>
      </c>
      <c r="AD35" s="36">
        <v>107.50380000000001</v>
      </c>
    </row>
    <row r="36" spans="1:30" s="37" customFormat="1" ht="15.75" customHeight="1" x14ac:dyDescent="0.2">
      <c r="A36" s="26">
        <v>2302</v>
      </c>
      <c r="B36" s="27" t="s">
        <v>151</v>
      </c>
      <c r="C36" s="27" t="s">
        <v>38</v>
      </c>
      <c r="D36" s="28">
        <v>0.1</v>
      </c>
      <c r="E36" s="29">
        <v>12.53</v>
      </c>
      <c r="F36" s="29">
        <v>0.49</v>
      </c>
      <c r="G36" s="30" t="s">
        <v>39</v>
      </c>
      <c r="H36" s="27" t="s">
        <v>94</v>
      </c>
      <c r="I36" s="27" t="s">
        <v>49</v>
      </c>
      <c r="J36" s="27" t="s">
        <v>152</v>
      </c>
      <c r="K36" s="27" t="s">
        <v>73</v>
      </c>
      <c r="L36" s="31" t="s">
        <v>153</v>
      </c>
      <c r="M36" s="32">
        <v>0.38</v>
      </c>
      <c r="N36" s="27" t="s">
        <v>33</v>
      </c>
      <c r="O36" s="27" t="s">
        <v>34</v>
      </c>
      <c r="P36" s="27" t="s">
        <v>123</v>
      </c>
      <c r="Q36" s="27" t="s">
        <v>154</v>
      </c>
      <c r="R36" s="33">
        <v>32404</v>
      </c>
      <c r="S36" s="34">
        <v>42007</v>
      </c>
      <c r="T36" s="34">
        <v>42008</v>
      </c>
      <c r="U36" s="29">
        <v>244.464</v>
      </c>
      <c r="V36" s="26">
        <v>8</v>
      </c>
      <c r="W36" s="29">
        <v>92.02</v>
      </c>
      <c r="X36" s="26">
        <v>87696</v>
      </c>
      <c r="Y36" s="35">
        <v>9.86</v>
      </c>
      <c r="Z36" s="1" t="s">
        <v>3011</v>
      </c>
      <c r="AA36" s="36">
        <v>10.024000000000001</v>
      </c>
      <c r="AB36" s="54">
        <v>57.052399999999999</v>
      </c>
      <c r="AC36" s="54">
        <v>4.3709499999999997</v>
      </c>
      <c r="AD36" s="36">
        <v>-162.95800000000003</v>
      </c>
    </row>
    <row r="37" spans="1:30" s="37" customFormat="1" ht="15.75" customHeight="1" x14ac:dyDescent="0.2">
      <c r="A37" s="26">
        <v>1988</v>
      </c>
      <c r="B37" s="27" t="s">
        <v>143</v>
      </c>
      <c r="C37" s="27" t="s">
        <v>38</v>
      </c>
      <c r="D37" s="28">
        <v>0.05</v>
      </c>
      <c r="E37" s="29">
        <v>20.98</v>
      </c>
      <c r="F37" s="29">
        <v>21.2</v>
      </c>
      <c r="G37" s="30" t="s">
        <v>39</v>
      </c>
      <c r="H37" s="27" t="s">
        <v>71</v>
      </c>
      <c r="I37" s="27" t="s">
        <v>29</v>
      </c>
      <c r="J37" s="27" t="s">
        <v>126</v>
      </c>
      <c r="K37" s="27" t="s">
        <v>144</v>
      </c>
      <c r="L37" s="31" t="s">
        <v>145</v>
      </c>
      <c r="M37" s="32">
        <v>0.78</v>
      </c>
      <c r="N37" s="27" t="s">
        <v>33</v>
      </c>
      <c r="O37" s="27" t="s">
        <v>60</v>
      </c>
      <c r="P37" s="27" t="s">
        <v>146</v>
      </c>
      <c r="Q37" s="27" t="s">
        <v>147</v>
      </c>
      <c r="R37" s="33">
        <v>84020</v>
      </c>
      <c r="S37" s="34">
        <v>42007</v>
      </c>
      <c r="T37" s="34">
        <v>42008</v>
      </c>
      <c r="U37" s="29">
        <v>-181.102</v>
      </c>
      <c r="V37" s="26">
        <v>3</v>
      </c>
      <c r="W37" s="29">
        <v>65.69</v>
      </c>
      <c r="X37" s="26">
        <v>89999</v>
      </c>
      <c r="Y37" s="35">
        <v>212.51</v>
      </c>
      <c r="Z37" s="1" t="s">
        <v>3013</v>
      </c>
      <c r="AA37" s="36">
        <v>3.1470000000000002</v>
      </c>
      <c r="AB37" s="54">
        <v>14.451799999999997</v>
      </c>
      <c r="AC37" s="54">
        <v>17.0794</v>
      </c>
      <c r="AD37" s="36">
        <v>222.44500000000002</v>
      </c>
    </row>
    <row r="38" spans="1:30" s="37" customFormat="1" ht="15.75" customHeight="1" x14ac:dyDescent="0.2">
      <c r="A38" s="26">
        <v>2460</v>
      </c>
      <c r="B38" s="27" t="s">
        <v>160</v>
      </c>
      <c r="C38" s="27" t="s">
        <v>38</v>
      </c>
      <c r="D38" s="28">
        <v>0.03</v>
      </c>
      <c r="E38" s="29">
        <v>6.48</v>
      </c>
      <c r="F38" s="29">
        <v>8.73</v>
      </c>
      <c r="G38" s="30" t="s">
        <v>39</v>
      </c>
      <c r="H38" s="27" t="s">
        <v>71</v>
      </c>
      <c r="I38" s="27" t="s">
        <v>49</v>
      </c>
      <c r="J38" s="27" t="s">
        <v>88</v>
      </c>
      <c r="K38" s="27" t="s">
        <v>73</v>
      </c>
      <c r="L38" s="31" t="s">
        <v>158</v>
      </c>
      <c r="M38" s="32">
        <v>0.37</v>
      </c>
      <c r="N38" s="27" t="s">
        <v>33</v>
      </c>
      <c r="O38" s="27" t="s">
        <v>111</v>
      </c>
      <c r="P38" s="27" t="s">
        <v>112</v>
      </c>
      <c r="Q38" s="27" t="s">
        <v>113</v>
      </c>
      <c r="R38" s="33">
        <v>10035</v>
      </c>
      <c r="S38" s="34">
        <v>42007</v>
      </c>
      <c r="T38" s="34">
        <v>42009</v>
      </c>
      <c r="U38" s="29">
        <v>-35.04</v>
      </c>
      <c r="V38" s="26">
        <v>8</v>
      </c>
      <c r="W38" s="29">
        <v>63.78</v>
      </c>
      <c r="X38" s="26">
        <v>30785</v>
      </c>
      <c r="Y38" s="35">
        <v>43.14</v>
      </c>
      <c r="Z38" s="1" t="s">
        <v>3014</v>
      </c>
      <c r="AA38" s="36">
        <v>1.5552000000000001</v>
      </c>
      <c r="AB38" s="54">
        <v>40.181400000000004</v>
      </c>
      <c r="AC38" s="54">
        <v>2.9498250000000001</v>
      </c>
      <c r="AD38" s="36">
        <v>88.534800000000004</v>
      </c>
    </row>
    <row r="39" spans="1:30" s="37" customFormat="1" ht="15.75" customHeight="1" x14ac:dyDescent="0.2">
      <c r="A39" s="26">
        <v>169</v>
      </c>
      <c r="B39" s="27" t="s">
        <v>166</v>
      </c>
      <c r="C39" s="27" t="s">
        <v>48</v>
      </c>
      <c r="D39" s="28">
        <v>0.04</v>
      </c>
      <c r="E39" s="29">
        <v>10.14</v>
      </c>
      <c r="F39" s="29">
        <v>2.27</v>
      </c>
      <c r="G39" s="30" t="s">
        <v>39</v>
      </c>
      <c r="H39" s="27" t="s">
        <v>94</v>
      </c>
      <c r="I39" s="27" t="s">
        <v>49</v>
      </c>
      <c r="J39" s="27" t="s">
        <v>88</v>
      </c>
      <c r="K39" s="27" t="s">
        <v>51</v>
      </c>
      <c r="L39" s="31" t="s">
        <v>171</v>
      </c>
      <c r="M39" s="32">
        <v>0.36</v>
      </c>
      <c r="N39" s="27" t="s">
        <v>33</v>
      </c>
      <c r="O39" s="27" t="s">
        <v>34</v>
      </c>
      <c r="P39" s="27" t="s">
        <v>168</v>
      </c>
      <c r="Q39" s="27" t="s">
        <v>169</v>
      </c>
      <c r="R39" s="33">
        <v>70802</v>
      </c>
      <c r="S39" s="34">
        <v>42007</v>
      </c>
      <c r="T39" s="34">
        <v>42011</v>
      </c>
      <c r="U39" s="29">
        <v>24.923999999999999</v>
      </c>
      <c r="V39" s="26">
        <v>3</v>
      </c>
      <c r="W39" s="29">
        <v>30.94</v>
      </c>
      <c r="X39" s="26">
        <v>87463</v>
      </c>
      <c r="Y39" s="35">
        <v>574.69000000000005</v>
      </c>
      <c r="Z39" s="1" t="s">
        <v>3011</v>
      </c>
      <c r="AA39" s="36">
        <v>1.2168000000000001</v>
      </c>
      <c r="AB39" s="54">
        <v>19.801600000000001</v>
      </c>
      <c r="AC39" s="54">
        <v>3.7128000000000001</v>
      </c>
      <c r="AD39" s="36">
        <v>2.529200000000003</v>
      </c>
    </row>
    <row r="40" spans="1:30" s="37" customFormat="1" ht="15.75" customHeight="1" x14ac:dyDescent="0.2">
      <c r="A40" s="26">
        <v>114</v>
      </c>
      <c r="B40" s="27" t="s">
        <v>137</v>
      </c>
      <c r="C40" s="27" t="s">
        <v>38</v>
      </c>
      <c r="D40" s="28">
        <v>0.03</v>
      </c>
      <c r="E40" s="29">
        <v>4.26</v>
      </c>
      <c r="F40" s="29">
        <v>1.2</v>
      </c>
      <c r="G40" s="30" t="s">
        <v>39</v>
      </c>
      <c r="H40" s="27" t="s">
        <v>71</v>
      </c>
      <c r="I40" s="27" t="s">
        <v>49</v>
      </c>
      <c r="J40" s="27" t="s">
        <v>50</v>
      </c>
      <c r="K40" s="27" t="s">
        <v>51</v>
      </c>
      <c r="L40" s="31" t="s">
        <v>138</v>
      </c>
      <c r="M40" s="32">
        <v>0.44</v>
      </c>
      <c r="N40" s="27" t="s">
        <v>33</v>
      </c>
      <c r="O40" s="27" t="s">
        <v>60</v>
      </c>
      <c r="P40" s="27" t="s">
        <v>139</v>
      </c>
      <c r="Q40" s="27" t="s">
        <v>140</v>
      </c>
      <c r="R40" s="33">
        <v>97035</v>
      </c>
      <c r="S40" s="34">
        <v>42007</v>
      </c>
      <c r="T40" s="34">
        <v>42008</v>
      </c>
      <c r="U40" s="29">
        <v>18.658000000000001</v>
      </c>
      <c r="V40" s="26">
        <v>7</v>
      </c>
      <c r="W40" s="29">
        <v>29.5</v>
      </c>
      <c r="X40" s="26">
        <v>89583</v>
      </c>
      <c r="Y40" s="35">
        <v>10.100000000000001</v>
      </c>
      <c r="Z40" s="1" t="s">
        <v>3013</v>
      </c>
      <c r="AA40" s="36">
        <v>0.89459999999999995</v>
      </c>
      <c r="AB40" s="54">
        <v>16.520000000000003</v>
      </c>
      <c r="AC40" s="54">
        <v>1.8542857142857143</v>
      </c>
      <c r="AD40" s="36">
        <v>8.747399999999999</v>
      </c>
    </row>
    <row r="41" spans="1:30" s="37" customFormat="1" ht="15.75" customHeight="1" x14ac:dyDescent="0.2">
      <c r="A41" s="26">
        <v>388</v>
      </c>
      <c r="B41" s="27" t="s">
        <v>131</v>
      </c>
      <c r="C41" s="27" t="s">
        <v>26</v>
      </c>
      <c r="D41" s="28">
        <v>0.03</v>
      </c>
      <c r="E41" s="29">
        <v>5.28</v>
      </c>
      <c r="F41" s="29">
        <v>5.66</v>
      </c>
      <c r="G41" s="30" t="s">
        <v>39</v>
      </c>
      <c r="H41" s="27" t="s">
        <v>94</v>
      </c>
      <c r="I41" s="27" t="s">
        <v>49</v>
      </c>
      <c r="J41" s="27" t="s">
        <v>88</v>
      </c>
      <c r="K41" s="27" t="s">
        <v>73</v>
      </c>
      <c r="L41" s="31" t="s">
        <v>132</v>
      </c>
      <c r="M41" s="32">
        <v>0.4</v>
      </c>
      <c r="N41" s="27" t="s">
        <v>33</v>
      </c>
      <c r="O41" s="27" t="s">
        <v>53</v>
      </c>
      <c r="P41" s="27" t="s">
        <v>133</v>
      </c>
      <c r="Q41" s="27" t="s">
        <v>134</v>
      </c>
      <c r="R41" s="33">
        <v>68847</v>
      </c>
      <c r="S41" s="34">
        <v>42007</v>
      </c>
      <c r="T41" s="34">
        <v>42009</v>
      </c>
      <c r="U41" s="29">
        <v>-51.559199999999997</v>
      </c>
      <c r="V41" s="26">
        <v>4</v>
      </c>
      <c r="W41" s="29">
        <v>22.82</v>
      </c>
      <c r="X41" s="26">
        <v>90337</v>
      </c>
      <c r="Y41" s="35">
        <v>10.040000000000001</v>
      </c>
      <c r="Z41" s="1" t="s">
        <v>3012</v>
      </c>
      <c r="AA41" s="36">
        <v>0.63360000000000005</v>
      </c>
      <c r="AB41" s="54">
        <v>13.692</v>
      </c>
      <c r="AC41" s="54">
        <v>2.282</v>
      </c>
      <c r="AD41" s="36">
        <v>68.085599999999999</v>
      </c>
    </row>
    <row r="42" spans="1:30" s="37" customFormat="1" ht="15.75" customHeight="1" x14ac:dyDescent="0.2">
      <c r="A42" s="26">
        <v>2458</v>
      </c>
      <c r="B42" s="27" t="s">
        <v>157</v>
      </c>
      <c r="C42" s="27" t="s">
        <v>38</v>
      </c>
      <c r="D42" s="28">
        <v>0.03</v>
      </c>
      <c r="E42" s="29">
        <v>6.48</v>
      </c>
      <c r="F42" s="29">
        <v>8.73</v>
      </c>
      <c r="G42" s="30" t="s">
        <v>39</v>
      </c>
      <c r="H42" s="27" t="s">
        <v>71</v>
      </c>
      <c r="I42" s="27" t="s">
        <v>49</v>
      </c>
      <c r="J42" s="27" t="s">
        <v>88</v>
      </c>
      <c r="K42" s="27" t="s">
        <v>73</v>
      </c>
      <c r="L42" s="31" t="s">
        <v>158</v>
      </c>
      <c r="M42" s="32">
        <v>0.37</v>
      </c>
      <c r="N42" s="27" t="s">
        <v>33</v>
      </c>
      <c r="O42" s="27" t="s">
        <v>53</v>
      </c>
      <c r="P42" s="27" t="s">
        <v>84</v>
      </c>
      <c r="Q42" s="27" t="s">
        <v>159</v>
      </c>
      <c r="R42" s="33">
        <v>55410</v>
      </c>
      <c r="S42" s="34">
        <v>42007</v>
      </c>
      <c r="T42" s="34">
        <v>42009</v>
      </c>
      <c r="U42" s="29">
        <v>-35.04</v>
      </c>
      <c r="V42" s="26">
        <v>2</v>
      </c>
      <c r="W42" s="29">
        <v>15.95</v>
      </c>
      <c r="X42" s="26">
        <v>91285</v>
      </c>
      <c r="Y42" s="35">
        <v>1.39</v>
      </c>
      <c r="Z42" s="1" t="s">
        <v>3012</v>
      </c>
      <c r="AA42" s="36">
        <v>0.38880000000000003</v>
      </c>
      <c r="AB42" s="54">
        <v>10.048499999999999</v>
      </c>
      <c r="AC42" s="54">
        <v>2.9507499999999998</v>
      </c>
      <c r="AD42" s="36">
        <v>41.871200000000002</v>
      </c>
    </row>
    <row r="43" spans="1:30" s="37" customFormat="1" ht="15.75" customHeight="1" x14ac:dyDescent="0.2">
      <c r="A43" s="26">
        <v>2081</v>
      </c>
      <c r="B43" s="27" t="s">
        <v>175</v>
      </c>
      <c r="C43" s="27" t="s">
        <v>48</v>
      </c>
      <c r="D43" s="28">
        <v>0.09</v>
      </c>
      <c r="E43" s="29">
        <v>1.48</v>
      </c>
      <c r="F43" s="29">
        <v>0.7</v>
      </c>
      <c r="G43" s="30" t="s">
        <v>39</v>
      </c>
      <c r="H43" s="27" t="s">
        <v>94</v>
      </c>
      <c r="I43" s="27" t="s">
        <v>49</v>
      </c>
      <c r="J43" s="27" t="s">
        <v>176</v>
      </c>
      <c r="K43" s="27" t="s">
        <v>51</v>
      </c>
      <c r="L43" s="31" t="s">
        <v>177</v>
      </c>
      <c r="M43" s="32">
        <v>0.37</v>
      </c>
      <c r="N43" s="27" t="s">
        <v>33</v>
      </c>
      <c r="O43" s="27" t="s">
        <v>111</v>
      </c>
      <c r="P43" s="27" t="s">
        <v>112</v>
      </c>
      <c r="Q43" s="27" t="s">
        <v>178</v>
      </c>
      <c r="R43" s="33">
        <v>14853</v>
      </c>
      <c r="S43" s="34">
        <v>42007</v>
      </c>
      <c r="T43" s="34">
        <v>42009</v>
      </c>
      <c r="U43" s="29">
        <v>1.68</v>
      </c>
      <c r="V43" s="26">
        <v>6</v>
      </c>
      <c r="W43" s="29">
        <v>8.9499999999999993</v>
      </c>
      <c r="X43" s="26">
        <v>86092</v>
      </c>
      <c r="Y43" s="35">
        <v>213.45</v>
      </c>
      <c r="Z43" s="1" t="s">
        <v>3014</v>
      </c>
      <c r="AA43" s="36">
        <v>0.79919999999999991</v>
      </c>
      <c r="AB43" s="54">
        <v>5.6384999999999996</v>
      </c>
      <c r="AC43" s="54">
        <v>0.55191666666666661</v>
      </c>
      <c r="AD43" s="36">
        <v>5.7707999999999995</v>
      </c>
    </row>
    <row r="44" spans="1:30" s="37" customFormat="1" ht="15.75" customHeight="1" x14ac:dyDescent="0.2">
      <c r="A44" s="26">
        <v>1142</v>
      </c>
      <c r="B44" s="27" t="s">
        <v>198</v>
      </c>
      <c r="C44" s="27" t="s">
        <v>116</v>
      </c>
      <c r="D44" s="28">
        <v>0.05</v>
      </c>
      <c r="E44" s="29">
        <v>363.25</v>
      </c>
      <c r="F44" s="29">
        <v>19.989999999999998</v>
      </c>
      <c r="G44" s="30" t="s">
        <v>39</v>
      </c>
      <c r="H44" s="27" t="s">
        <v>71</v>
      </c>
      <c r="I44" s="27" t="s">
        <v>49</v>
      </c>
      <c r="J44" s="27" t="s">
        <v>95</v>
      </c>
      <c r="K44" s="27" t="s">
        <v>73</v>
      </c>
      <c r="L44" s="31" t="s">
        <v>199</v>
      </c>
      <c r="M44" s="32">
        <v>0.56999999999999995</v>
      </c>
      <c r="N44" s="27" t="s">
        <v>33</v>
      </c>
      <c r="O44" s="27" t="s">
        <v>53</v>
      </c>
      <c r="P44" s="27" t="s">
        <v>187</v>
      </c>
      <c r="Q44" s="27" t="s">
        <v>200</v>
      </c>
      <c r="R44" s="33">
        <v>76706</v>
      </c>
      <c r="S44" s="34">
        <v>42008</v>
      </c>
      <c r="T44" s="34">
        <v>42010</v>
      </c>
      <c r="U44" s="29">
        <v>1766.7795000000001</v>
      </c>
      <c r="V44" s="26">
        <v>7</v>
      </c>
      <c r="W44" s="29">
        <v>2560.5500000000002</v>
      </c>
      <c r="X44" s="26">
        <v>86573</v>
      </c>
      <c r="Y44" s="35">
        <v>399.95000000000005</v>
      </c>
      <c r="Z44" s="1" t="s">
        <v>3012</v>
      </c>
      <c r="AA44" s="36">
        <v>127.13750000000002</v>
      </c>
      <c r="AB44" s="54">
        <v>1101.0365000000002</v>
      </c>
      <c r="AC44" s="54">
        <v>208.50192857142855</v>
      </c>
      <c r="AD44" s="36">
        <v>646.64300000000003</v>
      </c>
    </row>
    <row r="45" spans="1:30" s="37" customFormat="1" ht="15.75" customHeight="1" x14ac:dyDescent="0.2">
      <c r="A45" s="26">
        <v>2393</v>
      </c>
      <c r="B45" s="27" t="s">
        <v>193</v>
      </c>
      <c r="C45" s="27" t="s">
        <v>38</v>
      </c>
      <c r="D45" s="28">
        <v>0.06</v>
      </c>
      <c r="E45" s="29">
        <v>105.29</v>
      </c>
      <c r="F45" s="29">
        <v>10.119999999999999</v>
      </c>
      <c r="G45" s="30" t="s">
        <v>39</v>
      </c>
      <c r="H45" s="27" t="s">
        <v>94</v>
      </c>
      <c r="I45" s="27" t="s">
        <v>29</v>
      </c>
      <c r="J45" s="27" t="s">
        <v>126</v>
      </c>
      <c r="K45" s="27" t="s">
        <v>65</v>
      </c>
      <c r="L45" s="31" t="s">
        <v>194</v>
      </c>
      <c r="M45" s="32">
        <v>0.79</v>
      </c>
      <c r="N45" s="27" t="s">
        <v>33</v>
      </c>
      <c r="O45" s="27" t="s">
        <v>34</v>
      </c>
      <c r="P45" s="27" t="s">
        <v>75</v>
      </c>
      <c r="Q45" s="27" t="s">
        <v>195</v>
      </c>
      <c r="R45" s="33">
        <v>30076</v>
      </c>
      <c r="S45" s="34">
        <v>42008</v>
      </c>
      <c r="T45" s="34">
        <v>42010</v>
      </c>
      <c r="U45" s="29">
        <v>-45.01</v>
      </c>
      <c r="V45" s="26">
        <v>12</v>
      </c>
      <c r="W45" s="29">
        <v>1202.6600000000001</v>
      </c>
      <c r="X45" s="26">
        <v>86951</v>
      </c>
      <c r="Y45" s="35">
        <v>3.33</v>
      </c>
      <c r="Z45" s="1" t="s">
        <v>3011</v>
      </c>
      <c r="AA45" s="36">
        <v>75.808800000000005</v>
      </c>
      <c r="AB45" s="54">
        <v>252.55859999999998</v>
      </c>
      <c r="AC45" s="54">
        <v>79.175116666666682</v>
      </c>
      <c r="AD45" s="36">
        <v>1161.7412000000002</v>
      </c>
    </row>
    <row r="46" spans="1:30" s="37" customFormat="1" ht="15.75" customHeight="1" x14ac:dyDescent="0.2">
      <c r="A46" s="26">
        <v>2203</v>
      </c>
      <c r="B46" s="27" t="s">
        <v>182</v>
      </c>
      <c r="C46" s="27" t="s">
        <v>26</v>
      </c>
      <c r="D46" s="28">
        <v>0.03</v>
      </c>
      <c r="E46" s="29">
        <v>399.98</v>
      </c>
      <c r="F46" s="29">
        <v>12.06</v>
      </c>
      <c r="G46" s="30" t="s">
        <v>27</v>
      </c>
      <c r="H46" s="27" t="s">
        <v>71</v>
      </c>
      <c r="I46" s="27" t="s">
        <v>41</v>
      </c>
      <c r="J46" s="27" t="s">
        <v>57</v>
      </c>
      <c r="K46" s="27" t="s">
        <v>31</v>
      </c>
      <c r="L46" s="31" t="s">
        <v>183</v>
      </c>
      <c r="M46" s="32">
        <v>0.56000000000000005</v>
      </c>
      <c r="N46" s="27" t="s">
        <v>33</v>
      </c>
      <c r="O46" s="27" t="s">
        <v>53</v>
      </c>
      <c r="P46" s="27" t="s">
        <v>84</v>
      </c>
      <c r="Q46" s="27" t="s">
        <v>184</v>
      </c>
      <c r="R46" s="33">
        <v>55445</v>
      </c>
      <c r="S46" s="34">
        <v>42008</v>
      </c>
      <c r="T46" s="34">
        <v>42010</v>
      </c>
      <c r="U46" s="29">
        <v>-663.51419999999996</v>
      </c>
      <c r="V46" s="26">
        <v>2</v>
      </c>
      <c r="W46" s="29">
        <v>807</v>
      </c>
      <c r="X46" s="26">
        <v>86052</v>
      </c>
      <c r="Y46" s="35">
        <v>3.64</v>
      </c>
      <c r="Z46" s="1" t="s">
        <v>3012</v>
      </c>
      <c r="AA46" s="36">
        <v>23.998799999999999</v>
      </c>
      <c r="AB46" s="54">
        <v>355.08</v>
      </c>
      <c r="AC46" s="54">
        <v>225.96</v>
      </c>
      <c r="AD46" s="36">
        <v>1434.4554000000001</v>
      </c>
    </row>
    <row r="47" spans="1:30" s="37" customFormat="1" ht="15.75" customHeight="1" x14ac:dyDescent="0.2">
      <c r="A47" s="26">
        <v>916</v>
      </c>
      <c r="B47" s="27" t="s">
        <v>196</v>
      </c>
      <c r="C47" s="27" t="s">
        <v>48</v>
      </c>
      <c r="D47" s="28">
        <v>0.05</v>
      </c>
      <c r="E47" s="29">
        <v>161.55000000000001</v>
      </c>
      <c r="F47" s="29">
        <v>19.989999999999998</v>
      </c>
      <c r="G47" s="30" t="s">
        <v>39</v>
      </c>
      <c r="H47" s="27" t="s">
        <v>94</v>
      </c>
      <c r="I47" s="27" t="s">
        <v>49</v>
      </c>
      <c r="J47" s="27" t="s">
        <v>78</v>
      </c>
      <c r="K47" s="27" t="s">
        <v>73</v>
      </c>
      <c r="L47" s="31" t="s">
        <v>79</v>
      </c>
      <c r="M47" s="32">
        <v>0.66</v>
      </c>
      <c r="N47" s="27" t="s">
        <v>33</v>
      </c>
      <c r="O47" s="27" t="s">
        <v>53</v>
      </c>
      <c r="P47" s="27" t="s">
        <v>187</v>
      </c>
      <c r="Q47" s="27" t="s">
        <v>197</v>
      </c>
      <c r="R47" s="33">
        <v>76028</v>
      </c>
      <c r="S47" s="34">
        <v>42008</v>
      </c>
      <c r="T47" s="34">
        <v>42015</v>
      </c>
      <c r="U47" s="29">
        <v>35.31</v>
      </c>
      <c r="V47" s="26">
        <v>3</v>
      </c>
      <c r="W47" s="29">
        <v>499.31</v>
      </c>
      <c r="X47" s="26">
        <v>86357</v>
      </c>
      <c r="Y47" s="35">
        <v>350.92</v>
      </c>
      <c r="Z47" s="1" t="s">
        <v>3012</v>
      </c>
      <c r="AA47" s="36">
        <v>24.232500000000002</v>
      </c>
      <c r="AB47" s="54">
        <v>169.76539999999997</v>
      </c>
      <c r="AC47" s="54">
        <v>109.84820000000001</v>
      </c>
      <c r="AD47" s="36">
        <v>419.77750000000003</v>
      </c>
    </row>
    <row r="48" spans="1:30" s="37" customFormat="1" ht="15.75" customHeight="1" x14ac:dyDescent="0.2">
      <c r="A48" s="26">
        <v>915</v>
      </c>
      <c r="B48" s="27" t="s">
        <v>190</v>
      </c>
      <c r="C48" s="27" t="s">
        <v>38</v>
      </c>
      <c r="D48" s="28">
        <v>0.06</v>
      </c>
      <c r="E48" s="29">
        <v>350.98</v>
      </c>
      <c r="F48" s="29">
        <v>30</v>
      </c>
      <c r="G48" s="30" t="s">
        <v>27</v>
      </c>
      <c r="H48" s="27" t="s">
        <v>71</v>
      </c>
      <c r="I48" s="27" t="s">
        <v>29</v>
      </c>
      <c r="J48" s="27" t="s">
        <v>109</v>
      </c>
      <c r="K48" s="27" t="s">
        <v>58</v>
      </c>
      <c r="L48" s="31" t="s">
        <v>191</v>
      </c>
      <c r="M48" s="32">
        <v>0.61</v>
      </c>
      <c r="N48" s="27" t="s">
        <v>33</v>
      </c>
      <c r="O48" s="27" t="s">
        <v>53</v>
      </c>
      <c r="P48" s="27" t="s">
        <v>187</v>
      </c>
      <c r="Q48" s="27" t="s">
        <v>192</v>
      </c>
      <c r="R48" s="33">
        <v>77803</v>
      </c>
      <c r="S48" s="34">
        <v>42008</v>
      </c>
      <c r="T48" s="34">
        <v>42009</v>
      </c>
      <c r="U48" s="29">
        <v>-489.41559999999998</v>
      </c>
      <c r="V48" s="26">
        <v>1</v>
      </c>
      <c r="W48" s="29">
        <v>346.52</v>
      </c>
      <c r="X48" s="26">
        <v>86356</v>
      </c>
      <c r="Y48" s="35">
        <v>105.23</v>
      </c>
      <c r="Z48" s="1" t="s">
        <v>3012</v>
      </c>
      <c r="AA48" s="36">
        <v>21.058800000000002</v>
      </c>
      <c r="AB48" s="54">
        <v>135.14279999999999</v>
      </c>
      <c r="AC48" s="54">
        <v>211.37719999999999</v>
      </c>
      <c r="AD48" s="36">
        <v>784.8768</v>
      </c>
    </row>
    <row r="49" spans="1:30" s="37" customFormat="1" ht="15.75" customHeight="1" x14ac:dyDescent="0.2">
      <c r="A49" s="26">
        <v>3146</v>
      </c>
      <c r="B49" s="27" t="s">
        <v>185</v>
      </c>
      <c r="C49" s="27" t="s">
        <v>26</v>
      </c>
      <c r="D49" s="28">
        <v>7.0000000000000007E-2</v>
      </c>
      <c r="E49" s="29">
        <v>3.71</v>
      </c>
      <c r="F49" s="29">
        <v>1.93</v>
      </c>
      <c r="G49" s="30" t="s">
        <v>87</v>
      </c>
      <c r="H49" s="27" t="s">
        <v>94</v>
      </c>
      <c r="I49" s="27" t="s">
        <v>49</v>
      </c>
      <c r="J49" s="27" t="s">
        <v>88</v>
      </c>
      <c r="K49" s="27" t="s">
        <v>51</v>
      </c>
      <c r="L49" s="31" t="s">
        <v>189</v>
      </c>
      <c r="M49" s="32">
        <v>0.35</v>
      </c>
      <c r="N49" s="27" t="s">
        <v>33</v>
      </c>
      <c r="O49" s="27" t="s">
        <v>53</v>
      </c>
      <c r="P49" s="27" t="s">
        <v>187</v>
      </c>
      <c r="Q49" s="27" t="s">
        <v>188</v>
      </c>
      <c r="R49" s="33">
        <v>78577</v>
      </c>
      <c r="S49" s="34">
        <v>42008</v>
      </c>
      <c r="T49" s="34">
        <v>42010</v>
      </c>
      <c r="U49" s="29">
        <v>6.3308</v>
      </c>
      <c r="V49" s="26">
        <v>11</v>
      </c>
      <c r="W49" s="29">
        <v>39.64</v>
      </c>
      <c r="X49" s="26">
        <v>85850</v>
      </c>
      <c r="Y49" s="35">
        <v>161.5</v>
      </c>
      <c r="Z49" s="1" t="s">
        <v>3012</v>
      </c>
      <c r="AA49" s="36">
        <v>2.8567000000000005</v>
      </c>
      <c r="AB49" s="54">
        <v>25.766000000000002</v>
      </c>
      <c r="AC49" s="54">
        <v>1.2612727272727271</v>
      </c>
      <c r="AD49" s="36">
        <v>28.522500000000001</v>
      </c>
    </row>
    <row r="50" spans="1:30" s="37" customFormat="1" ht="15.75" customHeight="1" x14ac:dyDescent="0.2">
      <c r="A50" s="26">
        <v>3146</v>
      </c>
      <c r="B50" s="27" t="s">
        <v>185</v>
      </c>
      <c r="C50" s="27" t="s">
        <v>26</v>
      </c>
      <c r="D50" s="28">
        <v>0.03</v>
      </c>
      <c r="E50" s="29">
        <v>3.36</v>
      </c>
      <c r="F50" s="29">
        <v>6.27</v>
      </c>
      <c r="G50" s="30" t="s">
        <v>39</v>
      </c>
      <c r="H50" s="27" t="s">
        <v>94</v>
      </c>
      <c r="I50" s="27" t="s">
        <v>49</v>
      </c>
      <c r="J50" s="27" t="s">
        <v>72</v>
      </c>
      <c r="K50" s="27" t="s">
        <v>73</v>
      </c>
      <c r="L50" s="31" t="s">
        <v>186</v>
      </c>
      <c r="M50" s="32">
        <v>0.4</v>
      </c>
      <c r="N50" s="27" t="s">
        <v>33</v>
      </c>
      <c r="O50" s="27" t="s">
        <v>53</v>
      </c>
      <c r="P50" s="27" t="s">
        <v>187</v>
      </c>
      <c r="Q50" s="27" t="s">
        <v>188</v>
      </c>
      <c r="R50" s="33">
        <v>78577</v>
      </c>
      <c r="S50" s="34">
        <v>42008</v>
      </c>
      <c r="T50" s="34">
        <v>42009</v>
      </c>
      <c r="U50" s="29">
        <v>-94.258600000000001</v>
      </c>
      <c r="V50" s="26">
        <v>4</v>
      </c>
      <c r="W50" s="29">
        <v>14.9</v>
      </c>
      <c r="X50" s="26">
        <v>85850</v>
      </c>
      <c r="Y50" s="35">
        <v>363.2</v>
      </c>
      <c r="Z50" s="1" t="s">
        <v>3012</v>
      </c>
      <c r="AA50" s="36">
        <v>0.40319999999999995</v>
      </c>
      <c r="AB50" s="54">
        <v>8.94</v>
      </c>
      <c r="AC50" s="54">
        <v>1.4900000000000002</v>
      </c>
      <c r="AD50" s="36">
        <v>102.48540000000001</v>
      </c>
    </row>
    <row r="51" spans="1:30" s="37" customFormat="1" ht="15.75" customHeight="1" x14ac:dyDescent="0.2">
      <c r="A51" s="26">
        <v>1314</v>
      </c>
      <c r="B51" s="27" t="s">
        <v>223</v>
      </c>
      <c r="C51" s="27" t="s">
        <v>48</v>
      </c>
      <c r="D51" s="28">
        <v>0.05</v>
      </c>
      <c r="E51" s="29">
        <v>279.48</v>
      </c>
      <c r="F51" s="29">
        <v>35</v>
      </c>
      <c r="G51" s="30" t="s">
        <v>39</v>
      </c>
      <c r="H51" s="27" t="s">
        <v>71</v>
      </c>
      <c r="I51" s="27" t="s">
        <v>49</v>
      </c>
      <c r="J51" s="27" t="s">
        <v>78</v>
      </c>
      <c r="K51" s="27" t="s">
        <v>65</v>
      </c>
      <c r="L51" s="31" t="s">
        <v>225</v>
      </c>
      <c r="M51" s="32">
        <v>0.8</v>
      </c>
      <c r="N51" s="27" t="s">
        <v>33</v>
      </c>
      <c r="O51" s="27" t="s">
        <v>60</v>
      </c>
      <c r="P51" s="27" t="s">
        <v>90</v>
      </c>
      <c r="Q51" s="27" t="s">
        <v>100</v>
      </c>
      <c r="R51" s="33">
        <v>90058</v>
      </c>
      <c r="S51" s="34">
        <v>42009</v>
      </c>
      <c r="T51" s="34">
        <v>42009</v>
      </c>
      <c r="U51" s="29">
        <v>-274.95</v>
      </c>
      <c r="V51" s="26">
        <v>31</v>
      </c>
      <c r="W51" s="29">
        <v>8354.73</v>
      </c>
      <c r="X51" s="26">
        <v>27013</v>
      </c>
      <c r="Y51" s="35">
        <v>1.73</v>
      </c>
      <c r="Z51" s="1" t="s">
        <v>3013</v>
      </c>
      <c r="AA51" s="36">
        <v>433.19400000000007</v>
      </c>
      <c r="AB51" s="54">
        <v>1670.9459999999995</v>
      </c>
      <c r="AC51" s="54">
        <v>215.60593548387098</v>
      </c>
      <c r="AD51" s="36">
        <v>8161.4859999999999</v>
      </c>
    </row>
    <row r="52" spans="1:30" s="37" customFormat="1" ht="15.75" customHeight="1" x14ac:dyDescent="0.2">
      <c r="A52" s="26">
        <v>1314</v>
      </c>
      <c r="B52" s="27" t="s">
        <v>223</v>
      </c>
      <c r="C52" s="27" t="s">
        <v>48</v>
      </c>
      <c r="D52" s="28">
        <v>0.05</v>
      </c>
      <c r="E52" s="29">
        <v>80.98</v>
      </c>
      <c r="F52" s="29">
        <v>35</v>
      </c>
      <c r="G52" s="30" t="s">
        <v>39</v>
      </c>
      <c r="H52" s="27" t="s">
        <v>71</v>
      </c>
      <c r="I52" s="27" t="s">
        <v>49</v>
      </c>
      <c r="J52" s="27" t="s">
        <v>78</v>
      </c>
      <c r="K52" s="27" t="s">
        <v>65</v>
      </c>
      <c r="L52" s="31" t="s">
        <v>224</v>
      </c>
      <c r="M52" s="32">
        <v>0.81</v>
      </c>
      <c r="N52" s="27" t="s">
        <v>33</v>
      </c>
      <c r="O52" s="27" t="s">
        <v>60</v>
      </c>
      <c r="P52" s="27" t="s">
        <v>90</v>
      </c>
      <c r="Q52" s="27" t="s">
        <v>100</v>
      </c>
      <c r="R52" s="33">
        <v>90058</v>
      </c>
      <c r="S52" s="34">
        <v>42009</v>
      </c>
      <c r="T52" s="34">
        <v>42013</v>
      </c>
      <c r="U52" s="29">
        <v>-746.44</v>
      </c>
      <c r="V52" s="26">
        <v>34</v>
      </c>
      <c r="W52" s="29">
        <v>2710.47</v>
      </c>
      <c r="X52" s="26">
        <v>27013</v>
      </c>
      <c r="Y52" s="35">
        <v>125.94999999999999</v>
      </c>
      <c r="Z52" s="1" t="s">
        <v>3013</v>
      </c>
      <c r="AA52" s="36">
        <v>137.66600000000003</v>
      </c>
      <c r="AB52" s="54">
        <v>514.98929999999984</v>
      </c>
      <c r="AC52" s="54">
        <v>64.57296176470588</v>
      </c>
      <c r="AD52" s="36">
        <v>3284.2439999999997</v>
      </c>
    </row>
    <row r="53" spans="1:30" s="37" customFormat="1" ht="15.75" customHeight="1" x14ac:dyDescent="0.2">
      <c r="A53" s="26">
        <v>2630</v>
      </c>
      <c r="B53" s="27" t="s">
        <v>205</v>
      </c>
      <c r="C53" s="27" t="s">
        <v>26</v>
      </c>
      <c r="D53" s="28">
        <v>0.02</v>
      </c>
      <c r="E53" s="29">
        <v>209.84</v>
      </c>
      <c r="F53" s="29">
        <v>21.21</v>
      </c>
      <c r="G53" s="30" t="s">
        <v>39</v>
      </c>
      <c r="H53" s="27" t="s">
        <v>3095</v>
      </c>
      <c r="I53" s="27" t="s">
        <v>29</v>
      </c>
      <c r="J53" s="27" t="s">
        <v>126</v>
      </c>
      <c r="K53" s="27" t="s">
        <v>65</v>
      </c>
      <c r="L53" s="31" t="s">
        <v>209</v>
      </c>
      <c r="M53" s="32">
        <v>0.59</v>
      </c>
      <c r="N53" s="27" t="s">
        <v>33</v>
      </c>
      <c r="O53" s="27" t="s">
        <v>53</v>
      </c>
      <c r="P53" s="27" t="s">
        <v>207</v>
      </c>
      <c r="Q53" s="27" t="s">
        <v>208</v>
      </c>
      <c r="R53" s="33">
        <v>73071</v>
      </c>
      <c r="S53" s="34">
        <v>42009</v>
      </c>
      <c r="T53" s="34">
        <v>42010</v>
      </c>
      <c r="U53" s="29">
        <v>1507.6431</v>
      </c>
      <c r="V53" s="26">
        <v>10</v>
      </c>
      <c r="W53" s="29">
        <v>2184.9899999999998</v>
      </c>
      <c r="X53" s="26">
        <v>85914</v>
      </c>
      <c r="Y53" s="35">
        <v>194.29000000000002</v>
      </c>
      <c r="Z53" s="1" t="s">
        <v>3012</v>
      </c>
      <c r="AA53" s="36">
        <v>41.968000000000004</v>
      </c>
      <c r="AB53" s="54">
        <v>895.84590000000003</v>
      </c>
      <c r="AC53" s="54">
        <v>128.91440999999998</v>
      </c>
      <c r="AD53" s="36">
        <v>614.16889999999967</v>
      </c>
    </row>
    <row r="54" spans="1:30" s="37" customFormat="1" ht="15.75" customHeight="1" x14ac:dyDescent="0.2">
      <c r="A54" s="26">
        <v>1316</v>
      </c>
      <c r="B54" s="27" t="s">
        <v>226</v>
      </c>
      <c r="C54" s="27" t="s">
        <v>48</v>
      </c>
      <c r="D54" s="28">
        <v>0.05</v>
      </c>
      <c r="E54" s="29">
        <v>279.48</v>
      </c>
      <c r="F54" s="29">
        <v>35</v>
      </c>
      <c r="G54" s="30" t="s">
        <v>39</v>
      </c>
      <c r="H54" s="27" t="s">
        <v>71</v>
      </c>
      <c r="I54" s="27" t="s">
        <v>49</v>
      </c>
      <c r="J54" s="27" t="s">
        <v>78</v>
      </c>
      <c r="K54" s="27" t="s">
        <v>65</v>
      </c>
      <c r="L54" s="31" t="s">
        <v>225</v>
      </c>
      <c r="M54" s="32">
        <v>0.8</v>
      </c>
      <c r="N54" s="27" t="s">
        <v>33</v>
      </c>
      <c r="O54" s="27" t="s">
        <v>60</v>
      </c>
      <c r="P54" s="27" t="s">
        <v>61</v>
      </c>
      <c r="Q54" s="27" t="s">
        <v>227</v>
      </c>
      <c r="R54" s="33">
        <v>80022</v>
      </c>
      <c r="S54" s="34">
        <v>42009</v>
      </c>
      <c r="T54" s="34">
        <v>42009</v>
      </c>
      <c r="U54" s="29">
        <v>-274.95</v>
      </c>
      <c r="V54" s="26">
        <v>8</v>
      </c>
      <c r="W54" s="29">
        <v>2156.06</v>
      </c>
      <c r="X54" s="26">
        <v>87603</v>
      </c>
      <c r="Y54" s="35">
        <v>209.82</v>
      </c>
      <c r="Z54" s="1" t="s">
        <v>3013</v>
      </c>
      <c r="AA54" s="36">
        <v>111.79200000000002</v>
      </c>
      <c r="AB54" s="54">
        <v>431.21199999999988</v>
      </c>
      <c r="AC54" s="54">
        <v>215.60599999999999</v>
      </c>
      <c r="AD54" s="36">
        <v>2284.2179999999998</v>
      </c>
    </row>
    <row r="55" spans="1:30" s="37" customFormat="1" ht="15.75" customHeight="1" x14ac:dyDescent="0.2">
      <c r="A55" s="26">
        <v>2630</v>
      </c>
      <c r="B55" s="27" t="s">
        <v>205</v>
      </c>
      <c r="C55" s="27" t="s">
        <v>26</v>
      </c>
      <c r="D55" s="28">
        <v>0</v>
      </c>
      <c r="E55" s="29">
        <v>145.44999999999999</v>
      </c>
      <c r="F55" s="29">
        <v>17.850000000000001</v>
      </c>
      <c r="G55" s="30" t="s">
        <v>27</v>
      </c>
      <c r="H55" s="27" t="s">
        <v>3095</v>
      </c>
      <c r="I55" s="27" t="s">
        <v>41</v>
      </c>
      <c r="J55" s="27" t="s">
        <v>57</v>
      </c>
      <c r="K55" s="27" t="s">
        <v>58</v>
      </c>
      <c r="L55" s="31" t="s">
        <v>210</v>
      </c>
      <c r="M55" s="32">
        <v>0.56000000000000005</v>
      </c>
      <c r="N55" s="27" t="s">
        <v>33</v>
      </c>
      <c r="O55" s="27" t="s">
        <v>53</v>
      </c>
      <c r="P55" s="27" t="s">
        <v>207</v>
      </c>
      <c r="Q55" s="27" t="s">
        <v>208</v>
      </c>
      <c r="R55" s="33">
        <v>73071</v>
      </c>
      <c r="S55" s="34">
        <v>42009</v>
      </c>
      <c r="T55" s="34">
        <v>42011</v>
      </c>
      <c r="U55" s="29">
        <v>801.74680000000001</v>
      </c>
      <c r="V55" s="26">
        <v>8</v>
      </c>
      <c r="W55" s="29">
        <v>1191.2</v>
      </c>
      <c r="X55" s="26">
        <v>85914</v>
      </c>
      <c r="Y55" s="35">
        <v>145.44999999999999</v>
      </c>
      <c r="Z55" s="1" t="s">
        <v>3012</v>
      </c>
      <c r="AA55" s="36">
        <v>0</v>
      </c>
      <c r="AB55" s="54">
        <v>524.12799999999993</v>
      </c>
      <c r="AC55" s="54">
        <v>83.384000000000015</v>
      </c>
      <c r="AD55" s="36">
        <v>371.60320000000002</v>
      </c>
    </row>
    <row r="56" spans="1:30" s="37" customFormat="1" ht="15.75" customHeight="1" x14ac:dyDescent="0.2">
      <c r="A56" s="26">
        <v>2630</v>
      </c>
      <c r="B56" s="27" t="s">
        <v>205</v>
      </c>
      <c r="C56" s="27" t="s">
        <v>26</v>
      </c>
      <c r="D56" s="28">
        <v>0.01</v>
      </c>
      <c r="E56" s="29">
        <v>194.3</v>
      </c>
      <c r="F56" s="29">
        <v>11.54</v>
      </c>
      <c r="G56" s="30" t="s">
        <v>39</v>
      </c>
      <c r="H56" s="27" t="s">
        <v>3095</v>
      </c>
      <c r="I56" s="27" t="s">
        <v>29</v>
      </c>
      <c r="J56" s="27" t="s">
        <v>126</v>
      </c>
      <c r="K56" s="27" t="s">
        <v>65</v>
      </c>
      <c r="L56" s="31" t="s">
        <v>206</v>
      </c>
      <c r="M56" s="32">
        <v>0.59</v>
      </c>
      <c r="N56" s="27" t="s">
        <v>33</v>
      </c>
      <c r="O56" s="27" t="s">
        <v>53</v>
      </c>
      <c r="P56" s="27" t="s">
        <v>207</v>
      </c>
      <c r="Q56" s="27" t="s">
        <v>208</v>
      </c>
      <c r="R56" s="33">
        <v>73071</v>
      </c>
      <c r="S56" s="34">
        <v>42009</v>
      </c>
      <c r="T56" s="34">
        <v>42011</v>
      </c>
      <c r="U56" s="29">
        <v>690.17939999999999</v>
      </c>
      <c r="V56" s="26">
        <v>5</v>
      </c>
      <c r="W56" s="29">
        <v>1000.26</v>
      </c>
      <c r="X56" s="26">
        <v>85914</v>
      </c>
      <c r="Y56" s="35">
        <v>28.45</v>
      </c>
      <c r="Z56" s="1" t="s">
        <v>3012</v>
      </c>
      <c r="AA56" s="36">
        <v>9.7149999999999999</v>
      </c>
      <c r="AB56" s="54">
        <v>410.10660000000001</v>
      </c>
      <c r="AC56" s="54">
        <v>118.03067999999999</v>
      </c>
      <c r="AD56" s="36">
        <v>288.82560000000001</v>
      </c>
    </row>
    <row r="57" spans="1:30" s="37" customFormat="1" ht="15.75" customHeight="1" x14ac:dyDescent="0.2">
      <c r="A57" s="26">
        <v>890</v>
      </c>
      <c r="B57" s="27" t="s">
        <v>201</v>
      </c>
      <c r="C57" s="27" t="s">
        <v>26</v>
      </c>
      <c r="D57" s="28">
        <v>0.04</v>
      </c>
      <c r="E57" s="29">
        <v>125.99</v>
      </c>
      <c r="F57" s="29">
        <v>5.26</v>
      </c>
      <c r="G57" s="30" t="s">
        <v>39</v>
      </c>
      <c r="H57" s="27" t="s">
        <v>40</v>
      </c>
      <c r="I57" s="27" t="s">
        <v>41</v>
      </c>
      <c r="J57" s="27" t="s">
        <v>135</v>
      </c>
      <c r="K57" s="27" t="s">
        <v>73</v>
      </c>
      <c r="L57" s="31" t="s">
        <v>204</v>
      </c>
      <c r="M57" s="32">
        <v>0.55000000000000004</v>
      </c>
      <c r="N57" s="27" t="s">
        <v>33</v>
      </c>
      <c r="O57" s="27" t="s">
        <v>53</v>
      </c>
      <c r="P57" s="27" t="s">
        <v>187</v>
      </c>
      <c r="Q57" s="27" t="s">
        <v>203</v>
      </c>
      <c r="R57" s="33">
        <v>76021</v>
      </c>
      <c r="S57" s="34">
        <v>42009</v>
      </c>
      <c r="T57" s="34">
        <v>42009</v>
      </c>
      <c r="U57" s="29">
        <v>455.42070000000001</v>
      </c>
      <c r="V57" s="26">
        <v>6</v>
      </c>
      <c r="W57" s="29">
        <v>660.03</v>
      </c>
      <c r="X57" s="26">
        <v>89536</v>
      </c>
      <c r="Y57" s="35">
        <v>205.98000000000002</v>
      </c>
      <c r="Z57" s="1" t="s">
        <v>3012</v>
      </c>
      <c r="AA57" s="36">
        <v>30.2376</v>
      </c>
      <c r="AB57" s="54">
        <v>297.01349999999996</v>
      </c>
      <c r="AC57" s="54">
        <v>60.502749999999999</v>
      </c>
      <c r="AD57" s="36">
        <v>169.11169999999998</v>
      </c>
    </row>
    <row r="58" spans="1:30" s="37" customFormat="1" ht="15.75" customHeight="1" x14ac:dyDescent="0.2">
      <c r="A58" s="26">
        <v>1316</v>
      </c>
      <c r="B58" s="27" t="s">
        <v>226</v>
      </c>
      <c r="C58" s="27" t="s">
        <v>48</v>
      </c>
      <c r="D58" s="28">
        <v>0.05</v>
      </c>
      <c r="E58" s="29">
        <v>80.98</v>
      </c>
      <c r="F58" s="29">
        <v>35</v>
      </c>
      <c r="G58" s="30" t="s">
        <v>39</v>
      </c>
      <c r="H58" s="27" t="s">
        <v>71</v>
      </c>
      <c r="I58" s="27" t="s">
        <v>49</v>
      </c>
      <c r="J58" s="27" t="s">
        <v>78</v>
      </c>
      <c r="K58" s="27" t="s">
        <v>65</v>
      </c>
      <c r="L58" s="31" t="s">
        <v>224</v>
      </c>
      <c r="M58" s="32">
        <v>0.81</v>
      </c>
      <c r="N58" s="27" t="s">
        <v>33</v>
      </c>
      <c r="O58" s="27" t="s">
        <v>60</v>
      </c>
      <c r="P58" s="27" t="s">
        <v>61</v>
      </c>
      <c r="Q58" s="27" t="s">
        <v>227</v>
      </c>
      <c r="R58" s="33">
        <v>80022</v>
      </c>
      <c r="S58" s="34">
        <v>42009</v>
      </c>
      <c r="T58" s="34">
        <v>42013</v>
      </c>
      <c r="U58" s="29">
        <v>-746.44</v>
      </c>
      <c r="V58" s="26">
        <v>8</v>
      </c>
      <c r="W58" s="29">
        <v>637.76</v>
      </c>
      <c r="X58" s="26">
        <v>87603</v>
      </c>
      <c r="Y58" s="35">
        <v>120.89</v>
      </c>
      <c r="Z58" s="1" t="s">
        <v>3013</v>
      </c>
      <c r="AA58" s="36">
        <v>32.392000000000003</v>
      </c>
      <c r="AB58" s="54">
        <v>121.17439999999996</v>
      </c>
      <c r="AC58" s="54">
        <v>64.5732</v>
      </c>
      <c r="AD58" s="36">
        <v>1316.808</v>
      </c>
    </row>
    <row r="59" spans="1:30" s="37" customFormat="1" ht="15.75" customHeight="1" x14ac:dyDescent="0.2">
      <c r="A59" s="26">
        <v>2206</v>
      </c>
      <c r="B59" s="27" t="s">
        <v>211</v>
      </c>
      <c r="C59" s="27" t="s">
        <v>38</v>
      </c>
      <c r="D59" s="28">
        <v>0.01</v>
      </c>
      <c r="E59" s="29">
        <v>205.99</v>
      </c>
      <c r="F59" s="29">
        <v>5.99</v>
      </c>
      <c r="G59" s="30" t="s">
        <v>39</v>
      </c>
      <c r="H59" s="27" t="s">
        <v>40</v>
      </c>
      <c r="I59" s="27" t="s">
        <v>41</v>
      </c>
      <c r="J59" s="27" t="s">
        <v>135</v>
      </c>
      <c r="K59" s="27" t="s">
        <v>73</v>
      </c>
      <c r="L59" s="31" t="s">
        <v>215</v>
      </c>
      <c r="M59" s="32">
        <v>0.59</v>
      </c>
      <c r="N59" s="27" t="s">
        <v>33</v>
      </c>
      <c r="O59" s="27" t="s">
        <v>53</v>
      </c>
      <c r="P59" s="27" t="s">
        <v>213</v>
      </c>
      <c r="Q59" s="27" t="s">
        <v>214</v>
      </c>
      <c r="R59" s="33">
        <v>50501</v>
      </c>
      <c r="S59" s="34">
        <v>42009</v>
      </c>
      <c r="T59" s="34">
        <v>42011</v>
      </c>
      <c r="U59" s="29">
        <v>-74.883600000000001</v>
      </c>
      <c r="V59" s="26">
        <v>3</v>
      </c>
      <c r="W59" s="29">
        <v>551.22</v>
      </c>
      <c r="X59" s="26">
        <v>86258</v>
      </c>
      <c r="Y59" s="35">
        <v>8.870000000000001</v>
      </c>
      <c r="Z59" s="1" t="s">
        <v>3012</v>
      </c>
      <c r="AA59" s="36">
        <v>6.1797000000000004</v>
      </c>
      <c r="AB59" s="54">
        <v>226.00020000000004</v>
      </c>
      <c r="AC59" s="54">
        <v>108.4066</v>
      </c>
      <c r="AD59" s="36">
        <v>613.93389999999999</v>
      </c>
    </row>
    <row r="60" spans="1:30" s="37" customFormat="1" ht="15.75" customHeight="1" x14ac:dyDescent="0.2">
      <c r="A60" s="26">
        <v>2151</v>
      </c>
      <c r="B60" s="27" t="s">
        <v>234</v>
      </c>
      <c r="C60" s="27" t="s">
        <v>3094</v>
      </c>
      <c r="D60" s="28">
        <v>0.08</v>
      </c>
      <c r="E60" s="29">
        <v>243.98</v>
      </c>
      <c r="F60" s="29">
        <v>43.32</v>
      </c>
      <c r="G60" s="30" t="s">
        <v>27</v>
      </c>
      <c r="H60" s="27" t="s">
        <v>94</v>
      </c>
      <c r="I60" s="27" t="s">
        <v>29</v>
      </c>
      <c r="J60" s="27" t="s">
        <v>109</v>
      </c>
      <c r="K60" s="27" t="s">
        <v>58</v>
      </c>
      <c r="L60" s="31" t="s">
        <v>235</v>
      </c>
      <c r="M60" s="32">
        <v>0.55000000000000004</v>
      </c>
      <c r="N60" s="27" t="s">
        <v>33</v>
      </c>
      <c r="O60" s="27" t="s">
        <v>53</v>
      </c>
      <c r="P60" s="27" t="s">
        <v>213</v>
      </c>
      <c r="Q60" s="27" t="s">
        <v>236</v>
      </c>
      <c r="R60" s="33">
        <v>52001</v>
      </c>
      <c r="S60" s="34">
        <v>42009</v>
      </c>
      <c r="T60" s="34">
        <v>42010</v>
      </c>
      <c r="U60" s="29">
        <v>-162.8244</v>
      </c>
      <c r="V60" s="26">
        <v>1</v>
      </c>
      <c r="W60" s="29">
        <v>248.84</v>
      </c>
      <c r="X60" s="26">
        <v>90404</v>
      </c>
      <c r="Y60" s="35">
        <v>2.82</v>
      </c>
      <c r="Z60" s="1" t="s">
        <v>3012</v>
      </c>
      <c r="AA60" s="36">
        <v>19.5184</v>
      </c>
      <c r="AB60" s="54">
        <v>111.97799999999999</v>
      </c>
      <c r="AC60" s="54">
        <v>136.86200000000002</v>
      </c>
      <c r="AD60" s="36">
        <v>348.82600000000002</v>
      </c>
    </row>
    <row r="61" spans="1:30" s="37" customFormat="1" ht="15.75" customHeight="1" x14ac:dyDescent="0.2">
      <c r="A61" s="26">
        <v>3125</v>
      </c>
      <c r="B61" s="27" t="s">
        <v>216</v>
      </c>
      <c r="C61" s="27" t="s">
        <v>38</v>
      </c>
      <c r="D61" s="28">
        <v>0.08</v>
      </c>
      <c r="E61" s="29">
        <v>120.97</v>
      </c>
      <c r="F61" s="29">
        <v>26.3</v>
      </c>
      <c r="G61" s="30" t="s">
        <v>27</v>
      </c>
      <c r="H61" s="27" t="s">
        <v>71</v>
      </c>
      <c r="I61" s="27" t="s">
        <v>41</v>
      </c>
      <c r="J61" s="27" t="s">
        <v>57</v>
      </c>
      <c r="K61" s="27" t="s">
        <v>58</v>
      </c>
      <c r="L61" s="31" t="s">
        <v>217</v>
      </c>
      <c r="M61" s="32">
        <v>0.38</v>
      </c>
      <c r="N61" s="27" t="s">
        <v>33</v>
      </c>
      <c r="O61" s="27" t="s">
        <v>53</v>
      </c>
      <c r="P61" s="27" t="s">
        <v>103</v>
      </c>
      <c r="Q61" s="27" t="s">
        <v>218</v>
      </c>
      <c r="R61" s="33">
        <v>60056</v>
      </c>
      <c r="S61" s="34">
        <v>42009</v>
      </c>
      <c r="T61" s="34">
        <v>42011</v>
      </c>
      <c r="U61" s="29">
        <v>-233.840688</v>
      </c>
      <c r="V61" s="26">
        <v>2</v>
      </c>
      <c r="W61" s="29">
        <v>233.58</v>
      </c>
      <c r="X61" s="26">
        <v>87285</v>
      </c>
      <c r="Y61" s="35">
        <v>80.930000000000007</v>
      </c>
      <c r="Z61" s="1" t="s">
        <v>3012</v>
      </c>
      <c r="AA61" s="36">
        <v>19.3552</v>
      </c>
      <c r="AB61" s="54">
        <v>144.81960000000001</v>
      </c>
      <c r="AC61" s="54">
        <v>44.380200000000002</v>
      </c>
      <c r="AD61" s="36">
        <v>421.765488</v>
      </c>
    </row>
    <row r="62" spans="1:30" s="37" customFormat="1" ht="15.75" customHeight="1" x14ac:dyDescent="0.2">
      <c r="A62" s="26">
        <v>3331</v>
      </c>
      <c r="B62" s="27" t="s">
        <v>228</v>
      </c>
      <c r="C62" s="27" t="s">
        <v>116</v>
      </c>
      <c r="D62" s="28">
        <v>0.09</v>
      </c>
      <c r="E62" s="29">
        <v>5.98</v>
      </c>
      <c r="F62" s="29">
        <v>4.6900000000000004</v>
      </c>
      <c r="G62" s="30" t="s">
        <v>39</v>
      </c>
      <c r="H62" s="27" t="s">
        <v>94</v>
      </c>
      <c r="I62" s="27" t="s">
        <v>49</v>
      </c>
      <c r="J62" s="27" t="s">
        <v>78</v>
      </c>
      <c r="K62" s="27" t="s">
        <v>73</v>
      </c>
      <c r="L62" s="31" t="s">
        <v>229</v>
      </c>
      <c r="M62" s="32">
        <v>0.68</v>
      </c>
      <c r="N62" s="27" t="s">
        <v>33</v>
      </c>
      <c r="O62" s="27" t="s">
        <v>34</v>
      </c>
      <c r="P62" s="27" t="s">
        <v>123</v>
      </c>
      <c r="Q62" s="27" t="s">
        <v>230</v>
      </c>
      <c r="R62" s="33">
        <v>32174</v>
      </c>
      <c r="S62" s="34">
        <v>42009</v>
      </c>
      <c r="T62" s="34">
        <v>42010</v>
      </c>
      <c r="U62" s="29">
        <v>-781.13419999999996</v>
      </c>
      <c r="V62" s="26">
        <v>11</v>
      </c>
      <c r="W62" s="29">
        <v>65.849999999999994</v>
      </c>
      <c r="X62" s="26">
        <v>86283</v>
      </c>
      <c r="Y62" s="35">
        <v>279.43</v>
      </c>
      <c r="Z62" s="1" t="s">
        <v>3011</v>
      </c>
      <c r="AA62" s="36">
        <v>5.9202000000000004</v>
      </c>
      <c r="AB62" s="54">
        <v>21.071999999999996</v>
      </c>
      <c r="AC62" s="54">
        <v>4.0707272727272725</v>
      </c>
      <c r="AD62" s="36">
        <v>836.37399999999991</v>
      </c>
    </row>
    <row r="63" spans="1:30" s="37" customFormat="1" ht="15.75" customHeight="1" x14ac:dyDescent="0.2">
      <c r="A63" s="26">
        <v>2206</v>
      </c>
      <c r="B63" s="27" t="s">
        <v>211</v>
      </c>
      <c r="C63" s="27" t="s">
        <v>38</v>
      </c>
      <c r="D63" s="28">
        <v>0.03</v>
      </c>
      <c r="E63" s="29">
        <v>28.48</v>
      </c>
      <c r="F63" s="29">
        <v>1.99</v>
      </c>
      <c r="G63" s="30" t="s">
        <v>39</v>
      </c>
      <c r="H63" s="27" t="s">
        <v>40</v>
      </c>
      <c r="I63" s="27" t="s">
        <v>41</v>
      </c>
      <c r="J63" s="27" t="s">
        <v>42</v>
      </c>
      <c r="K63" s="27" t="s">
        <v>43</v>
      </c>
      <c r="L63" s="31" t="s">
        <v>212</v>
      </c>
      <c r="M63" s="32">
        <v>0.4</v>
      </c>
      <c r="N63" s="27" t="s">
        <v>33</v>
      </c>
      <c r="O63" s="27" t="s">
        <v>53</v>
      </c>
      <c r="P63" s="27" t="s">
        <v>213</v>
      </c>
      <c r="Q63" s="27" t="s">
        <v>214</v>
      </c>
      <c r="R63" s="33">
        <v>50501</v>
      </c>
      <c r="S63" s="34">
        <v>42009</v>
      </c>
      <c r="T63" s="34">
        <v>42010</v>
      </c>
      <c r="U63" s="29">
        <v>-35.290399999999998</v>
      </c>
      <c r="V63" s="26">
        <v>2</v>
      </c>
      <c r="W63" s="29">
        <v>55.25</v>
      </c>
      <c r="X63" s="26">
        <v>86258</v>
      </c>
      <c r="Y63" s="35">
        <v>80.930000000000007</v>
      </c>
      <c r="Z63" s="1" t="s">
        <v>3012</v>
      </c>
      <c r="AA63" s="36">
        <v>1.7087999999999999</v>
      </c>
      <c r="AB63" s="54">
        <v>33.15</v>
      </c>
      <c r="AC63" s="54">
        <v>11.05</v>
      </c>
      <c r="AD63" s="36">
        <v>86.8416</v>
      </c>
    </row>
    <row r="64" spans="1:30" s="37" customFormat="1" ht="15.75" customHeight="1" x14ac:dyDescent="0.2">
      <c r="A64" s="26">
        <v>1085</v>
      </c>
      <c r="B64" s="27" t="s">
        <v>231</v>
      </c>
      <c r="C64" s="27" t="s">
        <v>3094</v>
      </c>
      <c r="D64" s="28">
        <v>0.05</v>
      </c>
      <c r="E64" s="29">
        <v>7.64</v>
      </c>
      <c r="F64" s="29">
        <v>5.83</v>
      </c>
      <c r="G64" s="30" t="s">
        <v>39</v>
      </c>
      <c r="H64" s="27" t="s">
        <v>71</v>
      </c>
      <c r="I64" s="27" t="s">
        <v>49</v>
      </c>
      <c r="J64" s="27" t="s">
        <v>88</v>
      </c>
      <c r="K64" s="27" t="s">
        <v>51</v>
      </c>
      <c r="L64" s="31" t="s">
        <v>232</v>
      </c>
      <c r="M64" s="32">
        <v>0.36</v>
      </c>
      <c r="N64" s="27" t="s">
        <v>33</v>
      </c>
      <c r="O64" s="27" t="s">
        <v>111</v>
      </c>
      <c r="P64" s="27" t="s">
        <v>112</v>
      </c>
      <c r="Q64" s="27" t="s">
        <v>233</v>
      </c>
      <c r="R64" s="33">
        <v>11729</v>
      </c>
      <c r="S64" s="34">
        <v>42009</v>
      </c>
      <c r="T64" s="34">
        <v>42010</v>
      </c>
      <c r="U64" s="29">
        <v>-40.275199999999998</v>
      </c>
      <c r="V64" s="26">
        <v>6</v>
      </c>
      <c r="W64" s="29">
        <v>47.18</v>
      </c>
      <c r="X64" s="26">
        <v>86122</v>
      </c>
      <c r="Y64" s="35">
        <v>279.43</v>
      </c>
      <c r="Z64" s="1" t="s">
        <v>3014</v>
      </c>
      <c r="AA64" s="36">
        <v>2.2919999999999998</v>
      </c>
      <c r="AB64" s="54">
        <v>30.1952</v>
      </c>
      <c r="AC64" s="54">
        <v>2.8308</v>
      </c>
      <c r="AD64" s="36">
        <v>79.333200000000005</v>
      </c>
    </row>
    <row r="65" spans="1:30" s="37" customFormat="1" ht="15.75" customHeight="1" x14ac:dyDescent="0.2">
      <c r="A65" s="26">
        <v>451</v>
      </c>
      <c r="B65" s="27" t="s">
        <v>219</v>
      </c>
      <c r="C65" s="27" t="s">
        <v>48</v>
      </c>
      <c r="D65" s="28">
        <v>0.06</v>
      </c>
      <c r="E65" s="29">
        <v>2.88</v>
      </c>
      <c r="F65" s="29">
        <v>0.99</v>
      </c>
      <c r="G65" s="30" t="s">
        <v>39</v>
      </c>
      <c r="H65" s="27" t="s">
        <v>71</v>
      </c>
      <c r="I65" s="27" t="s">
        <v>49</v>
      </c>
      <c r="J65" s="27" t="s">
        <v>152</v>
      </c>
      <c r="K65" s="27" t="s">
        <v>73</v>
      </c>
      <c r="L65" s="31" t="s">
        <v>222</v>
      </c>
      <c r="M65" s="32">
        <v>0.36</v>
      </c>
      <c r="N65" s="27" t="s">
        <v>33</v>
      </c>
      <c r="O65" s="27" t="s">
        <v>60</v>
      </c>
      <c r="P65" s="27" t="s">
        <v>90</v>
      </c>
      <c r="Q65" s="27" t="s">
        <v>221</v>
      </c>
      <c r="R65" s="33">
        <v>94024</v>
      </c>
      <c r="S65" s="34">
        <v>42009</v>
      </c>
      <c r="T65" s="34">
        <v>42018</v>
      </c>
      <c r="U65" s="29">
        <v>16.049399999999999</v>
      </c>
      <c r="V65" s="26">
        <v>8</v>
      </c>
      <c r="W65" s="29">
        <v>23.26</v>
      </c>
      <c r="X65" s="26">
        <v>86013</v>
      </c>
      <c r="Y65" s="35">
        <v>5.8900000000000006</v>
      </c>
      <c r="Z65" s="1" t="s">
        <v>3013</v>
      </c>
      <c r="AA65" s="36">
        <v>1.3823999999999999</v>
      </c>
      <c r="AB65" s="54">
        <v>14.886400000000002</v>
      </c>
      <c r="AC65" s="54">
        <v>1.0467</v>
      </c>
      <c r="AD65" s="36">
        <v>4.8382000000000041</v>
      </c>
    </row>
    <row r="66" spans="1:30" s="37" customFormat="1" ht="15.75" customHeight="1" x14ac:dyDescent="0.2">
      <c r="A66" s="26">
        <v>890</v>
      </c>
      <c r="B66" s="27" t="s">
        <v>201</v>
      </c>
      <c r="C66" s="27" t="s">
        <v>26</v>
      </c>
      <c r="D66" s="28">
        <v>0.08</v>
      </c>
      <c r="E66" s="29">
        <v>1.81</v>
      </c>
      <c r="F66" s="29">
        <v>0.75</v>
      </c>
      <c r="G66" s="30" t="s">
        <v>39</v>
      </c>
      <c r="H66" s="27" t="s">
        <v>40</v>
      </c>
      <c r="I66" s="27" t="s">
        <v>29</v>
      </c>
      <c r="J66" s="27" t="s">
        <v>109</v>
      </c>
      <c r="K66" s="27" t="s">
        <v>58</v>
      </c>
      <c r="L66" s="31" t="s">
        <v>202</v>
      </c>
      <c r="M66" s="32">
        <v>0.57999999999999996</v>
      </c>
      <c r="N66" s="27" t="s">
        <v>33</v>
      </c>
      <c r="O66" s="27" t="s">
        <v>53</v>
      </c>
      <c r="P66" s="27" t="s">
        <v>187</v>
      </c>
      <c r="Q66" s="27" t="s">
        <v>203</v>
      </c>
      <c r="R66" s="33">
        <v>76021</v>
      </c>
      <c r="S66" s="34">
        <v>42009</v>
      </c>
      <c r="T66" s="34">
        <v>42010</v>
      </c>
      <c r="U66" s="29">
        <v>1.3224</v>
      </c>
      <c r="V66" s="26">
        <v>11</v>
      </c>
      <c r="W66" s="29">
        <v>19.97</v>
      </c>
      <c r="X66" s="26">
        <v>89536</v>
      </c>
      <c r="Y66" s="35">
        <v>7.59</v>
      </c>
      <c r="Z66" s="1" t="s">
        <v>3012</v>
      </c>
      <c r="AA66" s="36">
        <v>1.5928000000000002</v>
      </c>
      <c r="AB66" s="54">
        <v>8.3873999999999995</v>
      </c>
      <c r="AC66" s="54">
        <v>1.0529636363636363</v>
      </c>
      <c r="AD66" s="36">
        <v>16.3048</v>
      </c>
    </row>
    <row r="67" spans="1:30" s="37" customFormat="1" ht="15.75" customHeight="1" x14ac:dyDescent="0.2">
      <c r="A67" s="26">
        <v>451</v>
      </c>
      <c r="B67" s="27" t="s">
        <v>219</v>
      </c>
      <c r="C67" s="27" t="s">
        <v>48</v>
      </c>
      <c r="D67" s="28">
        <v>0.01</v>
      </c>
      <c r="E67" s="29">
        <v>8.8800000000000008</v>
      </c>
      <c r="F67" s="29">
        <v>6.28</v>
      </c>
      <c r="G67" s="30" t="s">
        <v>39</v>
      </c>
      <c r="H67" s="27" t="s">
        <v>71</v>
      </c>
      <c r="I67" s="27" t="s">
        <v>49</v>
      </c>
      <c r="J67" s="27" t="s">
        <v>72</v>
      </c>
      <c r="K67" s="27" t="s">
        <v>73</v>
      </c>
      <c r="L67" s="31" t="s">
        <v>220</v>
      </c>
      <c r="M67" s="32">
        <v>0.35</v>
      </c>
      <c r="N67" s="27" t="s">
        <v>33</v>
      </c>
      <c r="O67" s="27" t="s">
        <v>60</v>
      </c>
      <c r="P67" s="27" t="s">
        <v>90</v>
      </c>
      <c r="Q67" s="27" t="s">
        <v>221</v>
      </c>
      <c r="R67" s="33">
        <v>94024</v>
      </c>
      <c r="S67" s="34">
        <v>42009</v>
      </c>
      <c r="T67" s="34">
        <v>42014</v>
      </c>
      <c r="U67" s="29">
        <v>-15.456</v>
      </c>
      <c r="V67" s="26">
        <v>2</v>
      </c>
      <c r="W67" s="29">
        <v>19.86</v>
      </c>
      <c r="X67" s="26">
        <v>86013</v>
      </c>
      <c r="Y67" s="35">
        <v>243.89999999999998</v>
      </c>
      <c r="Z67" s="1" t="s">
        <v>3013</v>
      </c>
      <c r="AA67" s="36">
        <v>0.17760000000000001</v>
      </c>
      <c r="AB67" s="54">
        <v>12.909000000000001</v>
      </c>
      <c r="AC67" s="54">
        <v>3.4754999999999998</v>
      </c>
      <c r="AD67" s="36">
        <v>28.858399999999996</v>
      </c>
    </row>
    <row r="68" spans="1:30" s="37" customFormat="1" ht="15.75" customHeight="1" x14ac:dyDescent="0.2">
      <c r="A68" s="26">
        <v>1793</v>
      </c>
      <c r="B68" s="27" t="s">
        <v>237</v>
      </c>
      <c r="C68" s="27" t="s">
        <v>26</v>
      </c>
      <c r="D68" s="28">
        <v>0.04</v>
      </c>
      <c r="E68" s="29">
        <v>880.98</v>
      </c>
      <c r="F68" s="29">
        <v>44.55</v>
      </c>
      <c r="G68" s="30" t="s">
        <v>27</v>
      </c>
      <c r="H68" s="27" t="s">
        <v>71</v>
      </c>
      <c r="I68" s="27" t="s">
        <v>29</v>
      </c>
      <c r="J68" s="27" t="s">
        <v>117</v>
      </c>
      <c r="K68" s="27" t="s">
        <v>31</v>
      </c>
      <c r="L68" s="31" t="s">
        <v>238</v>
      </c>
      <c r="M68" s="32">
        <v>0.62</v>
      </c>
      <c r="N68" s="27" t="s">
        <v>33</v>
      </c>
      <c r="O68" s="27" t="s">
        <v>53</v>
      </c>
      <c r="P68" s="27" t="s">
        <v>103</v>
      </c>
      <c r="Q68" s="27" t="s">
        <v>239</v>
      </c>
      <c r="R68" s="33">
        <v>61401</v>
      </c>
      <c r="S68" s="34">
        <v>42010</v>
      </c>
      <c r="T68" s="34">
        <v>42011</v>
      </c>
      <c r="U68" s="29">
        <v>-13706.464</v>
      </c>
      <c r="V68" s="26">
        <v>8</v>
      </c>
      <c r="W68" s="29">
        <v>6968.9</v>
      </c>
      <c r="X68" s="26">
        <v>87853</v>
      </c>
      <c r="Y68" s="35">
        <v>880.94</v>
      </c>
      <c r="Z68" s="1" t="s">
        <v>3012</v>
      </c>
      <c r="AA68" s="36">
        <v>281.91360000000003</v>
      </c>
      <c r="AB68" s="54">
        <v>2648.1819999999998</v>
      </c>
      <c r="AC68" s="54">
        <v>540.08974999999998</v>
      </c>
      <c r="AD68" s="36">
        <v>20348.900399999999</v>
      </c>
    </row>
    <row r="69" spans="1:30" s="37" customFormat="1" ht="15.75" customHeight="1" x14ac:dyDescent="0.2">
      <c r="A69" s="26">
        <v>799</v>
      </c>
      <c r="B69" s="27" t="s">
        <v>269</v>
      </c>
      <c r="C69" s="27" t="s">
        <v>3094</v>
      </c>
      <c r="D69" s="28">
        <v>0.01</v>
      </c>
      <c r="E69" s="29">
        <v>150.97999999999999</v>
      </c>
      <c r="F69" s="29">
        <v>30</v>
      </c>
      <c r="G69" s="30" t="s">
        <v>27</v>
      </c>
      <c r="H69" s="27" t="s">
        <v>40</v>
      </c>
      <c r="I69" s="27" t="s">
        <v>29</v>
      </c>
      <c r="J69" s="27" t="s">
        <v>109</v>
      </c>
      <c r="K69" s="27" t="s">
        <v>58</v>
      </c>
      <c r="L69" s="31" t="s">
        <v>270</v>
      </c>
      <c r="M69" s="32">
        <v>0.74</v>
      </c>
      <c r="N69" s="27" t="s">
        <v>33</v>
      </c>
      <c r="O69" s="27" t="s">
        <v>34</v>
      </c>
      <c r="P69" s="27" t="s">
        <v>271</v>
      </c>
      <c r="Q69" s="27" t="s">
        <v>272</v>
      </c>
      <c r="R69" s="33">
        <v>29915</v>
      </c>
      <c r="S69" s="34">
        <v>42010</v>
      </c>
      <c r="T69" s="34">
        <v>42012</v>
      </c>
      <c r="U69" s="29">
        <v>131.38200000000001</v>
      </c>
      <c r="V69" s="26">
        <v>6</v>
      </c>
      <c r="W69" s="29">
        <v>958.46</v>
      </c>
      <c r="X69" s="26">
        <v>89909</v>
      </c>
      <c r="Y69" s="35">
        <v>2.0700000000000003</v>
      </c>
      <c r="Z69" s="1" t="s">
        <v>3011</v>
      </c>
      <c r="AA69" s="36">
        <v>9.0587999999999997</v>
      </c>
      <c r="AB69" s="54">
        <v>249.1996</v>
      </c>
      <c r="AC69" s="54">
        <v>118.21006666666668</v>
      </c>
      <c r="AD69" s="36">
        <v>788.01920000000007</v>
      </c>
    </row>
    <row r="70" spans="1:30" s="37" customFormat="1" ht="15.75" customHeight="1" x14ac:dyDescent="0.2">
      <c r="A70" s="26">
        <v>783</v>
      </c>
      <c r="B70" s="27" t="s">
        <v>247</v>
      </c>
      <c r="C70" s="27" t="s">
        <v>48</v>
      </c>
      <c r="D70" s="28">
        <v>0.02</v>
      </c>
      <c r="E70" s="29">
        <v>100.98</v>
      </c>
      <c r="F70" s="29">
        <v>35.840000000000003</v>
      </c>
      <c r="G70" s="30" t="s">
        <v>27</v>
      </c>
      <c r="H70" s="27" t="s">
        <v>3095</v>
      </c>
      <c r="I70" s="27" t="s">
        <v>29</v>
      </c>
      <c r="J70" s="27" t="s">
        <v>117</v>
      </c>
      <c r="K70" s="27" t="s">
        <v>31</v>
      </c>
      <c r="L70" s="31" t="s">
        <v>118</v>
      </c>
      <c r="M70" s="32">
        <v>0.62</v>
      </c>
      <c r="N70" s="27" t="s">
        <v>33</v>
      </c>
      <c r="O70" s="27" t="s">
        <v>111</v>
      </c>
      <c r="P70" s="27" t="s">
        <v>248</v>
      </c>
      <c r="Q70" s="27" t="s">
        <v>249</v>
      </c>
      <c r="R70" s="33">
        <v>6010</v>
      </c>
      <c r="S70" s="34">
        <v>42010</v>
      </c>
      <c r="T70" s="34">
        <v>42010</v>
      </c>
      <c r="U70" s="29">
        <v>-134.91200000000001</v>
      </c>
      <c r="V70" s="26">
        <v>6</v>
      </c>
      <c r="W70" s="29">
        <v>614.99</v>
      </c>
      <c r="X70" s="26">
        <v>90961</v>
      </c>
      <c r="Y70" s="35">
        <v>3.25</v>
      </c>
      <c r="Z70" s="1" t="s">
        <v>3014</v>
      </c>
      <c r="AA70" s="36">
        <v>12.117599999999999</v>
      </c>
      <c r="AB70" s="54">
        <v>233.6962</v>
      </c>
      <c r="AC70" s="54">
        <v>63.548966666666665</v>
      </c>
      <c r="AD70" s="36">
        <v>701.94439999999997</v>
      </c>
    </row>
    <row r="71" spans="1:30" s="37" customFormat="1" ht="15.75" customHeight="1" x14ac:dyDescent="0.2">
      <c r="A71" s="26">
        <v>2290</v>
      </c>
      <c r="B71" s="27" t="s">
        <v>279</v>
      </c>
      <c r="C71" s="27" t="s">
        <v>3094</v>
      </c>
      <c r="D71" s="28">
        <v>0</v>
      </c>
      <c r="E71" s="29">
        <v>42.98</v>
      </c>
      <c r="F71" s="29">
        <v>4.62</v>
      </c>
      <c r="G71" s="30" t="s">
        <v>39</v>
      </c>
      <c r="H71" s="27" t="s">
        <v>71</v>
      </c>
      <c r="I71" s="27" t="s">
        <v>49</v>
      </c>
      <c r="J71" s="27" t="s">
        <v>95</v>
      </c>
      <c r="K71" s="27" t="s">
        <v>73</v>
      </c>
      <c r="L71" s="31" t="s">
        <v>280</v>
      </c>
      <c r="M71" s="32">
        <v>0.56000000000000005</v>
      </c>
      <c r="N71" s="27" t="s">
        <v>33</v>
      </c>
      <c r="O71" s="27" t="s">
        <v>53</v>
      </c>
      <c r="P71" s="27" t="s">
        <v>84</v>
      </c>
      <c r="Q71" s="27" t="s">
        <v>281</v>
      </c>
      <c r="R71" s="33">
        <v>55433</v>
      </c>
      <c r="S71" s="34">
        <v>42010</v>
      </c>
      <c r="T71" s="34">
        <v>42012</v>
      </c>
      <c r="U71" s="29">
        <v>385.30290000000002</v>
      </c>
      <c r="V71" s="26">
        <v>12</v>
      </c>
      <c r="W71" s="29">
        <v>558.41</v>
      </c>
      <c r="X71" s="26">
        <v>88163</v>
      </c>
      <c r="Y71" s="35">
        <v>100.96000000000001</v>
      </c>
      <c r="Z71" s="1" t="s">
        <v>3012</v>
      </c>
      <c r="AA71" s="36">
        <v>0</v>
      </c>
      <c r="AB71" s="54">
        <v>245.70039999999995</v>
      </c>
      <c r="AC71" s="54">
        <v>26.059133333333335</v>
      </c>
      <c r="AD71" s="36">
        <v>168.48709999999994</v>
      </c>
    </row>
    <row r="72" spans="1:30" s="37" customFormat="1" ht="15.75" customHeight="1" x14ac:dyDescent="0.2">
      <c r="A72" s="26">
        <v>799</v>
      </c>
      <c r="B72" s="27" t="s">
        <v>269</v>
      </c>
      <c r="C72" s="27" t="s">
        <v>3094</v>
      </c>
      <c r="D72" s="28">
        <v>0.01</v>
      </c>
      <c r="E72" s="29">
        <v>28.28</v>
      </c>
      <c r="F72" s="29">
        <v>13.99</v>
      </c>
      <c r="G72" s="30" t="s">
        <v>87</v>
      </c>
      <c r="H72" s="27" t="s">
        <v>40</v>
      </c>
      <c r="I72" s="27" t="s">
        <v>49</v>
      </c>
      <c r="J72" s="27" t="s">
        <v>78</v>
      </c>
      <c r="K72" s="27" t="s">
        <v>144</v>
      </c>
      <c r="L72" s="31" t="s">
        <v>273</v>
      </c>
      <c r="M72" s="32">
        <v>0.57999999999999996</v>
      </c>
      <c r="N72" s="27" t="s">
        <v>33</v>
      </c>
      <c r="O72" s="27" t="s">
        <v>34</v>
      </c>
      <c r="P72" s="27" t="s">
        <v>271</v>
      </c>
      <c r="Q72" s="27" t="s">
        <v>272</v>
      </c>
      <c r="R72" s="33">
        <v>29915</v>
      </c>
      <c r="S72" s="34">
        <v>42010</v>
      </c>
      <c r="T72" s="34">
        <v>42012</v>
      </c>
      <c r="U72" s="29">
        <v>-89.292000000000002</v>
      </c>
      <c r="V72" s="26">
        <v>12</v>
      </c>
      <c r="W72" s="29">
        <v>368.84</v>
      </c>
      <c r="X72" s="26">
        <v>89909</v>
      </c>
      <c r="Y72" s="35">
        <v>7.05</v>
      </c>
      <c r="Z72" s="1" t="s">
        <v>3011</v>
      </c>
      <c r="AA72" s="36">
        <v>3.3936000000000002</v>
      </c>
      <c r="AB72" s="54">
        <v>154.9128</v>
      </c>
      <c r="AC72" s="54">
        <v>17.827266666666663</v>
      </c>
      <c r="AD72" s="36">
        <v>440.74839999999995</v>
      </c>
    </row>
    <row r="73" spans="1:30" s="37" customFormat="1" ht="15.75" customHeight="1" x14ac:dyDescent="0.2">
      <c r="A73" s="26">
        <v>1829</v>
      </c>
      <c r="B73" s="27" t="s">
        <v>254</v>
      </c>
      <c r="C73" s="27" t="s">
        <v>48</v>
      </c>
      <c r="D73" s="28">
        <v>0.05</v>
      </c>
      <c r="E73" s="29">
        <v>39.06</v>
      </c>
      <c r="F73" s="29">
        <v>10.55</v>
      </c>
      <c r="G73" s="30" t="s">
        <v>39</v>
      </c>
      <c r="H73" s="27" t="s">
        <v>94</v>
      </c>
      <c r="I73" s="27" t="s">
        <v>49</v>
      </c>
      <c r="J73" s="27" t="s">
        <v>72</v>
      </c>
      <c r="K73" s="27" t="s">
        <v>73</v>
      </c>
      <c r="L73" s="31" t="s">
        <v>255</v>
      </c>
      <c r="M73" s="32">
        <v>0.37</v>
      </c>
      <c r="N73" s="27" t="s">
        <v>33</v>
      </c>
      <c r="O73" s="27" t="s">
        <v>53</v>
      </c>
      <c r="P73" s="27" t="s">
        <v>213</v>
      </c>
      <c r="Q73" s="27" t="s">
        <v>256</v>
      </c>
      <c r="R73" s="33">
        <v>52402</v>
      </c>
      <c r="S73" s="34">
        <v>42010</v>
      </c>
      <c r="T73" s="34">
        <v>42017</v>
      </c>
      <c r="U73" s="29">
        <v>250.98060000000001</v>
      </c>
      <c r="V73" s="26">
        <v>9</v>
      </c>
      <c r="W73" s="29">
        <v>363.74</v>
      </c>
      <c r="X73" s="26">
        <v>86960</v>
      </c>
      <c r="Y73" s="35">
        <v>20.91</v>
      </c>
      <c r="Z73" s="1" t="s">
        <v>3012</v>
      </c>
      <c r="AA73" s="36">
        <v>17.577000000000002</v>
      </c>
      <c r="AB73" s="54">
        <v>229.15620000000001</v>
      </c>
      <c r="AC73" s="54">
        <v>14.953755555555556</v>
      </c>
      <c r="AD73" s="36">
        <v>84.632400000000018</v>
      </c>
    </row>
    <row r="74" spans="1:30" s="37" customFormat="1" ht="15.75" customHeight="1" x14ac:dyDescent="0.2">
      <c r="A74" s="26">
        <v>2290</v>
      </c>
      <c r="B74" s="27" t="s">
        <v>279</v>
      </c>
      <c r="C74" s="27" t="s">
        <v>3094</v>
      </c>
      <c r="D74" s="28">
        <v>0.03</v>
      </c>
      <c r="E74" s="29">
        <v>21.78</v>
      </c>
      <c r="F74" s="29">
        <v>5.94</v>
      </c>
      <c r="G74" s="30" t="s">
        <v>39</v>
      </c>
      <c r="H74" s="27" t="s">
        <v>71</v>
      </c>
      <c r="I74" s="27" t="s">
        <v>49</v>
      </c>
      <c r="J74" s="27" t="s">
        <v>95</v>
      </c>
      <c r="K74" s="27" t="s">
        <v>144</v>
      </c>
      <c r="L74" s="31" t="s">
        <v>282</v>
      </c>
      <c r="M74" s="32">
        <v>0.5</v>
      </c>
      <c r="N74" s="27" t="s">
        <v>33</v>
      </c>
      <c r="O74" s="27" t="s">
        <v>53</v>
      </c>
      <c r="P74" s="27" t="s">
        <v>84</v>
      </c>
      <c r="Q74" s="27" t="s">
        <v>281</v>
      </c>
      <c r="R74" s="33">
        <v>55433</v>
      </c>
      <c r="S74" s="34">
        <v>42010</v>
      </c>
      <c r="T74" s="34">
        <v>42012</v>
      </c>
      <c r="U74" s="29">
        <v>187.2</v>
      </c>
      <c r="V74" s="26">
        <v>13</v>
      </c>
      <c r="W74" s="29">
        <v>290.22000000000003</v>
      </c>
      <c r="X74" s="26">
        <v>88163</v>
      </c>
      <c r="Y74" s="35">
        <v>39.010000000000005</v>
      </c>
      <c r="Z74" s="1" t="s">
        <v>3012</v>
      </c>
      <c r="AA74" s="36">
        <v>8.4941999999999993</v>
      </c>
      <c r="AB74" s="54">
        <v>145.11000000000001</v>
      </c>
      <c r="AC74" s="54">
        <v>11.162307692307694</v>
      </c>
      <c r="AD74" s="36">
        <v>88.585800000000035</v>
      </c>
    </row>
    <row r="75" spans="1:30" s="37" customFormat="1" ht="15.75" customHeight="1" x14ac:dyDescent="0.2">
      <c r="A75" s="26">
        <v>3285</v>
      </c>
      <c r="B75" s="27" t="s">
        <v>283</v>
      </c>
      <c r="C75" s="27" t="s">
        <v>3094</v>
      </c>
      <c r="D75" s="28">
        <v>0.01</v>
      </c>
      <c r="E75" s="29">
        <v>30.98</v>
      </c>
      <c r="F75" s="29">
        <v>5.09</v>
      </c>
      <c r="G75" s="30" t="s">
        <v>39</v>
      </c>
      <c r="H75" s="27" t="s">
        <v>40</v>
      </c>
      <c r="I75" s="27" t="s">
        <v>49</v>
      </c>
      <c r="J75" s="27" t="s">
        <v>88</v>
      </c>
      <c r="K75" s="27" t="s">
        <v>73</v>
      </c>
      <c r="L75" s="31" t="s">
        <v>286</v>
      </c>
      <c r="M75" s="32">
        <v>0.4</v>
      </c>
      <c r="N75" s="27" t="s">
        <v>33</v>
      </c>
      <c r="O75" s="27" t="s">
        <v>34</v>
      </c>
      <c r="P75" s="27" t="s">
        <v>242</v>
      </c>
      <c r="Q75" s="27" t="s">
        <v>285</v>
      </c>
      <c r="R75" s="33">
        <v>20170</v>
      </c>
      <c r="S75" s="34">
        <v>42010</v>
      </c>
      <c r="T75" s="34">
        <v>42012</v>
      </c>
      <c r="U75" s="29">
        <v>896.40599999999995</v>
      </c>
      <c r="V75" s="26">
        <v>9</v>
      </c>
      <c r="W75" s="29">
        <v>288.42</v>
      </c>
      <c r="X75" s="26">
        <v>90750</v>
      </c>
      <c r="Y75" s="35">
        <v>3.48</v>
      </c>
      <c r="Z75" s="1" t="s">
        <v>3011</v>
      </c>
      <c r="AA75" s="36">
        <v>2.7882000000000002</v>
      </c>
      <c r="AB75" s="54">
        <v>173.05199999999999</v>
      </c>
      <c r="AC75" s="54">
        <v>12.818666666666667</v>
      </c>
      <c r="AD75" s="36">
        <v>-615.86419999999998</v>
      </c>
    </row>
    <row r="76" spans="1:30" s="37" customFormat="1" ht="15.75" customHeight="1" x14ac:dyDescent="0.2">
      <c r="A76" s="26">
        <v>211</v>
      </c>
      <c r="B76" s="27" t="s">
        <v>262</v>
      </c>
      <c r="C76" s="27" t="s">
        <v>116</v>
      </c>
      <c r="D76" s="28">
        <v>0</v>
      </c>
      <c r="E76" s="29">
        <v>65.989999999999995</v>
      </c>
      <c r="F76" s="29">
        <v>5.92</v>
      </c>
      <c r="G76" s="30" t="s">
        <v>39</v>
      </c>
      <c r="H76" s="27" t="s">
        <v>40</v>
      </c>
      <c r="I76" s="27" t="s">
        <v>41</v>
      </c>
      <c r="J76" s="27" t="s">
        <v>135</v>
      </c>
      <c r="K76" s="27" t="s">
        <v>73</v>
      </c>
      <c r="L76" s="31" t="s">
        <v>264</v>
      </c>
      <c r="M76" s="32">
        <v>0.55000000000000004</v>
      </c>
      <c r="N76" s="27" t="s">
        <v>33</v>
      </c>
      <c r="O76" s="27" t="s">
        <v>111</v>
      </c>
      <c r="P76" s="27" t="s">
        <v>112</v>
      </c>
      <c r="Q76" s="27" t="s">
        <v>263</v>
      </c>
      <c r="R76" s="33">
        <v>13501</v>
      </c>
      <c r="S76" s="34">
        <v>42010</v>
      </c>
      <c r="T76" s="34">
        <v>42012</v>
      </c>
      <c r="U76" s="29">
        <v>-107.98699999999999</v>
      </c>
      <c r="V76" s="26">
        <v>3</v>
      </c>
      <c r="W76" s="29">
        <v>173.32</v>
      </c>
      <c r="X76" s="26">
        <v>85964</v>
      </c>
      <c r="Y76" s="35">
        <v>15.49</v>
      </c>
      <c r="Z76" s="1" t="s">
        <v>3014</v>
      </c>
      <c r="AA76" s="36">
        <v>0</v>
      </c>
      <c r="AB76" s="54">
        <v>77.993999999999986</v>
      </c>
      <c r="AC76" s="54">
        <v>31.775333333333336</v>
      </c>
      <c r="AD76" s="36">
        <v>275.387</v>
      </c>
    </row>
    <row r="77" spans="1:30" s="37" customFormat="1" ht="15.75" customHeight="1" x14ac:dyDescent="0.2">
      <c r="A77" s="26">
        <v>1828</v>
      </c>
      <c r="B77" s="27" t="s">
        <v>250</v>
      </c>
      <c r="C77" s="27" t="s">
        <v>48</v>
      </c>
      <c r="D77" s="28">
        <v>0.04</v>
      </c>
      <c r="E77" s="29">
        <v>20.95</v>
      </c>
      <c r="F77" s="29">
        <v>4</v>
      </c>
      <c r="G77" s="30" t="s">
        <v>39</v>
      </c>
      <c r="H77" s="27" t="s">
        <v>94</v>
      </c>
      <c r="I77" s="27" t="s">
        <v>41</v>
      </c>
      <c r="J77" s="27" t="s">
        <v>42</v>
      </c>
      <c r="K77" s="27" t="s">
        <v>73</v>
      </c>
      <c r="L77" s="31" t="s">
        <v>253</v>
      </c>
      <c r="M77" s="32">
        <v>0.6</v>
      </c>
      <c r="N77" s="27" t="s">
        <v>33</v>
      </c>
      <c r="O77" s="27" t="s">
        <v>53</v>
      </c>
      <c r="P77" s="27" t="s">
        <v>213</v>
      </c>
      <c r="Q77" s="27" t="s">
        <v>252</v>
      </c>
      <c r="R77" s="33">
        <v>50613</v>
      </c>
      <c r="S77" s="34">
        <v>42010</v>
      </c>
      <c r="T77" s="34">
        <v>42015</v>
      </c>
      <c r="U77" s="29">
        <v>-1.88</v>
      </c>
      <c r="V77" s="26">
        <v>7</v>
      </c>
      <c r="W77" s="29">
        <v>142.06</v>
      </c>
      <c r="X77" s="26">
        <v>86960</v>
      </c>
      <c r="Y77" s="35">
        <v>20.29</v>
      </c>
      <c r="Z77" s="1" t="s">
        <v>3012</v>
      </c>
      <c r="AA77" s="36">
        <v>5.8659999999999997</v>
      </c>
      <c r="AB77" s="54">
        <v>56.824000000000005</v>
      </c>
      <c r="AC77" s="54">
        <v>12.176571428571428</v>
      </c>
      <c r="AD77" s="36">
        <v>134.07400000000001</v>
      </c>
    </row>
    <row r="78" spans="1:30" s="37" customFormat="1" ht="15.75" customHeight="1" x14ac:dyDescent="0.2">
      <c r="A78" s="26">
        <v>1828</v>
      </c>
      <c r="B78" s="27" t="s">
        <v>250</v>
      </c>
      <c r="C78" s="27" t="s">
        <v>48</v>
      </c>
      <c r="D78" s="28">
        <v>0.05</v>
      </c>
      <c r="E78" s="29">
        <v>7.1</v>
      </c>
      <c r="F78" s="29">
        <v>6.05</v>
      </c>
      <c r="G78" s="30" t="s">
        <v>39</v>
      </c>
      <c r="H78" s="27" t="s">
        <v>94</v>
      </c>
      <c r="I78" s="27" t="s">
        <v>49</v>
      </c>
      <c r="J78" s="27" t="s">
        <v>72</v>
      </c>
      <c r="K78" s="27" t="s">
        <v>73</v>
      </c>
      <c r="L78" s="31" t="s">
        <v>251</v>
      </c>
      <c r="M78" s="32">
        <v>0.39</v>
      </c>
      <c r="N78" s="27" t="s">
        <v>33</v>
      </c>
      <c r="O78" s="27" t="s">
        <v>53</v>
      </c>
      <c r="P78" s="27" t="s">
        <v>213</v>
      </c>
      <c r="Q78" s="27" t="s">
        <v>252</v>
      </c>
      <c r="R78" s="33">
        <v>50613</v>
      </c>
      <c r="S78" s="34">
        <v>42010</v>
      </c>
      <c r="T78" s="34">
        <v>42010</v>
      </c>
      <c r="U78" s="29">
        <v>-101.246</v>
      </c>
      <c r="V78" s="26">
        <v>14</v>
      </c>
      <c r="W78" s="29">
        <v>100.99</v>
      </c>
      <c r="X78" s="26">
        <v>86960</v>
      </c>
      <c r="Y78" s="35">
        <v>10.050000000000001</v>
      </c>
      <c r="Z78" s="1" t="s">
        <v>3012</v>
      </c>
      <c r="AA78" s="36">
        <v>4.97</v>
      </c>
      <c r="AB78" s="54">
        <v>61.603899999999996</v>
      </c>
      <c r="AC78" s="54">
        <v>2.8132928571428573</v>
      </c>
      <c r="AD78" s="36">
        <v>191.21600000000001</v>
      </c>
    </row>
    <row r="79" spans="1:30" s="37" customFormat="1" ht="15.75" customHeight="1" x14ac:dyDescent="0.2">
      <c r="A79" s="26">
        <v>2146</v>
      </c>
      <c r="B79" s="27" t="s">
        <v>259</v>
      </c>
      <c r="C79" s="27" t="s">
        <v>48</v>
      </c>
      <c r="D79" s="28">
        <v>0.05</v>
      </c>
      <c r="E79" s="29">
        <v>20.34</v>
      </c>
      <c r="F79" s="29">
        <v>35</v>
      </c>
      <c r="G79" s="30" t="s">
        <v>39</v>
      </c>
      <c r="H79" s="27" t="s">
        <v>94</v>
      </c>
      <c r="I79" s="27" t="s">
        <v>49</v>
      </c>
      <c r="J79" s="27" t="s">
        <v>78</v>
      </c>
      <c r="K79" s="27" t="s">
        <v>65</v>
      </c>
      <c r="L79" s="31" t="s">
        <v>260</v>
      </c>
      <c r="M79" s="32">
        <v>0.84</v>
      </c>
      <c r="N79" s="27" t="s">
        <v>33</v>
      </c>
      <c r="O79" s="27" t="s">
        <v>34</v>
      </c>
      <c r="P79" s="27" t="s">
        <v>242</v>
      </c>
      <c r="Q79" s="27" t="s">
        <v>261</v>
      </c>
      <c r="R79" s="33">
        <v>20151</v>
      </c>
      <c r="S79" s="34">
        <v>42010</v>
      </c>
      <c r="T79" s="34">
        <v>42014</v>
      </c>
      <c r="U79" s="29">
        <v>52.776000000000003</v>
      </c>
      <c r="V79" s="26">
        <v>2</v>
      </c>
      <c r="W79" s="29">
        <v>53.02</v>
      </c>
      <c r="X79" s="26">
        <v>87071</v>
      </c>
      <c r="Y79" s="35">
        <v>65.989999999999995</v>
      </c>
      <c r="Z79" s="1" t="s">
        <v>3011</v>
      </c>
      <c r="AA79" s="36">
        <v>2.0340000000000003</v>
      </c>
      <c r="AB79" s="54">
        <v>8.4832000000000019</v>
      </c>
      <c r="AC79" s="54">
        <v>22.2684</v>
      </c>
      <c r="AD79" s="36">
        <v>-36.790000000000013</v>
      </c>
    </row>
    <row r="80" spans="1:30" s="37" customFormat="1" ht="15.75" customHeight="1" x14ac:dyDescent="0.2">
      <c r="A80" s="26">
        <v>1950</v>
      </c>
      <c r="B80" s="27" t="s">
        <v>275</v>
      </c>
      <c r="C80" s="27" t="s">
        <v>3094</v>
      </c>
      <c r="D80" s="28">
        <v>0.01</v>
      </c>
      <c r="E80" s="29">
        <v>6.68</v>
      </c>
      <c r="F80" s="29">
        <v>4.91</v>
      </c>
      <c r="G80" s="30" t="s">
        <v>39</v>
      </c>
      <c r="H80" s="27" t="s">
        <v>3095</v>
      </c>
      <c r="I80" s="27" t="s">
        <v>49</v>
      </c>
      <c r="J80" s="27" t="s">
        <v>88</v>
      </c>
      <c r="K80" s="27" t="s">
        <v>73</v>
      </c>
      <c r="L80" s="31" t="s">
        <v>276</v>
      </c>
      <c r="M80" s="32">
        <v>0.37</v>
      </c>
      <c r="N80" s="27" t="s">
        <v>33</v>
      </c>
      <c r="O80" s="27" t="s">
        <v>60</v>
      </c>
      <c r="P80" s="27" t="s">
        <v>277</v>
      </c>
      <c r="Q80" s="27" t="s">
        <v>278</v>
      </c>
      <c r="R80" s="33">
        <v>59750</v>
      </c>
      <c r="S80" s="34">
        <v>42010</v>
      </c>
      <c r="T80" s="34">
        <v>42012</v>
      </c>
      <c r="U80" s="29">
        <v>-15.48</v>
      </c>
      <c r="V80" s="26">
        <v>7</v>
      </c>
      <c r="W80" s="29">
        <v>51.03</v>
      </c>
      <c r="X80" s="26">
        <v>90414</v>
      </c>
      <c r="Y80" s="35">
        <v>7.6099999999999994</v>
      </c>
      <c r="Z80" s="1" t="s">
        <v>3013</v>
      </c>
      <c r="AA80" s="36">
        <v>0.46760000000000002</v>
      </c>
      <c r="AB80" s="54">
        <v>32.148899999999998</v>
      </c>
      <c r="AC80" s="54">
        <v>2.6972999999999998</v>
      </c>
      <c r="AD80" s="36">
        <v>61.132400000000004</v>
      </c>
    </row>
    <row r="81" spans="1:30" s="37" customFormat="1" ht="15.75" customHeight="1" x14ac:dyDescent="0.2">
      <c r="A81" s="26">
        <v>3347</v>
      </c>
      <c r="B81" s="27" t="s">
        <v>265</v>
      </c>
      <c r="C81" s="27" t="s">
        <v>116</v>
      </c>
      <c r="D81" s="28">
        <v>0.05</v>
      </c>
      <c r="E81" s="29">
        <v>6.64</v>
      </c>
      <c r="F81" s="29">
        <v>4.95</v>
      </c>
      <c r="G81" s="30" t="s">
        <v>87</v>
      </c>
      <c r="H81" s="27" t="s">
        <v>40</v>
      </c>
      <c r="I81" s="27" t="s">
        <v>29</v>
      </c>
      <c r="J81" s="27" t="s">
        <v>126</v>
      </c>
      <c r="K81" s="27" t="s">
        <v>43</v>
      </c>
      <c r="L81" s="31" t="s">
        <v>268</v>
      </c>
      <c r="M81" s="32">
        <v>0.37</v>
      </c>
      <c r="N81" s="27" t="s">
        <v>33</v>
      </c>
      <c r="O81" s="27" t="s">
        <v>34</v>
      </c>
      <c r="P81" s="27" t="s">
        <v>123</v>
      </c>
      <c r="Q81" s="27" t="s">
        <v>267</v>
      </c>
      <c r="R81" s="33">
        <v>33411</v>
      </c>
      <c r="S81" s="34">
        <v>42010</v>
      </c>
      <c r="T81" s="34">
        <v>42012</v>
      </c>
      <c r="U81" s="29">
        <v>-92.929199999999994</v>
      </c>
      <c r="V81" s="26">
        <v>5</v>
      </c>
      <c r="W81" s="29">
        <v>34.17</v>
      </c>
      <c r="X81" s="26">
        <v>89355</v>
      </c>
      <c r="Y81" s="35">
        <v>6.59</v>
      </c>
      <c r="Z81" s="1" t="s">
        <v>3011</v>
      </c>
      <c r="AA81" s="36">
        <v>1.6600000000000001</v>
      </c>
      <c r="AB81" s="54">
        <v>21.527100000000001</v>
      </c>
      <c r="AC81" s="54">
        <v>2.5285800000000003</v>
      </c>
      <c r="AD81" s="36">
        <v>120.4892</v>
      </c>
    </row>
    <row r="82" spans="1:30" s="37" customFormat="1" ht="15.75" customHeight="1" x14ac:dyDescent="0.2">
      <c r="A82" s="26">
        <v>799</v>
      </c>
      <c r="B82" s="27" t="s">
        <v>269</v>
      </c>
      <c r="C82" s="27" t="s">
        <v>3094</v>
      </c>
      <c r="D82" s="28">
        <v>0.03</v>
      </c>
      <c r="E82" s="29">
        <v>35.99</v>
      </c>
      <c r="F82" s="29">
        <v>1.1000000000000001</v>
      </c>
      <c r="G82" s="30" t="s">
        <v>39</v>
      </c>
      <c r="H82" s="27" t="s">
        <v>40</v>
      </c>
      <c r="I82" s="27" t="s">
        <v>41</v>
      </c>
      <c r="J82" s="27" t="s">
        <v>135</v>
      </c>
      <c r="K82" s="27" t="s">
        <v>73</v>
      </c>
      <c r="L82" s="31" t="s">
        <v>274</v>
      </c>
      <c r="M82" s="32">
        <v>0.55000000000000004</v>
      </c>
      <c r="N82" s="27" t="s">
        <v>33</v>
      </c>
      <c r="O82" s="27" t="s">
        <v>34</v>
      </c>
      <c r="P82" s="27" t="s">
        <v>271</v>
      </c>
      <c r="Q82" s="27" t="s">
        <v>272</v>
      </c>
      <c r="R82" s="33">
        <v>29915</v>
      </c>
      <c r="S82" s="34">
        <v>42010</v>
      </c>
      <c r="T82" s="34">
        <v>42011</v>
      </c>
      <c r="U82" s="29">
        <v>-211.036</v>
      </c>
      <c r="V82" s="26">
        <v>1</v>
      </c>
      <c r="W82" s="29">
        <v>30.86</v>
      </c>
      <c r="X82" s="26">
        <v>89909</v>
      </c>
      <c r="Y82" s="35">
        <v>150.97</v>
      </c>
      <c r="Z82" s="1" t="s">
        <v>3011</v>
      </c>
      <c r="AA82" s="36">
        <v>1.0797000000000001</v>
      </c>
      <c r="AB82" s="54">
        <v>13.886999999999999</v>
      </c>
      <c r="AC82" s="54">
        <v>16.973000000000003</v>
      </c>
      <c r="AD82" s="36">
        <v>239.71629999999999</v>
      </c>
    </row>
    <row r="83" spans="1:30" s="37" customFormat="1" ht="15.75" customHeight="1" x14ac:dyDescent="0.2">
      <c r="A83" s="26">
        <v>1782</v>
      </c>
      <c r="B83" s="27" t="s">
        <v>244</v>
      </c>
      <c r="C83" s="27" t="s">
        <v>38</v>
      </c>
      <c r="D83" s="28">
        <v>0.03</v>
      </c>
      <c r="E83" s="29">
        <v>3.28</v>
      </c>
      <c r="F83" s="29">
        <v>3.97</v>
      </c>
      <c r="G83" s="30" t="s">
        <v>39</v>
      </c>
      <c r="H83" s="27" t="s">
        <v>71</v>
      </c>
      <c r="I83" s="27" t="s">
        <v>49</v>
      </c>
      <c r="J83" s="27" t="s">
        <v>50</v>
      </c>
      <c r="K83" s="27" t="s">
        <v>51</v>
      </c>
      <c r="L83" s="31" t="s">
        <v>245</v>
      </c>
      <c r="M83" s="32">
        <v>0.56000000000000005</v>
      </c>
      <c r="N83" s="27" t="s">
        <v>33</v>
      </c>
      <c r="O83" s="27" t="s">
        <v>60</v>
      </c>
      <c r="P83" s="27" t="s">
        <v>90</v>
      </c>
      <c r="Q83" s="27" t="s">
        <v>246</v>
      </c>
      <c r="R83" s="33">
        <v>92672</v>
      </c>
      <c r="S83" s="34">
        <v>42010</v>
      </c>
      <c r="T83" s="34">
        <v>42012</v>
      </c>
      <c r="U83" s="29">
        <v>-90.755600000000001</v>
      </c>
      <c r="V83" s="26">
        <v>7</v>
      </c>
      <c r="W83" s="29">
        <v>24.57</v>
      </c>
      <c r="X83" s="26">
        <v>89856</v>
      </c>
      <c r="Y83" s="35">
        <v>28.27</v>
      </c>
      <c r="Z83" s="1" t="s">
        <v>3013</v>
      </c>
      <c r="AA83" s="36">
        <v>0.68879999999999986</v>
      </c>
      <c r="AB83" s="54">
        <v>10.810799999999999</v>
      </c>
      <c r="AC83" s="54">
        <v>1.9656000000000002</v>
      </c>
      <c r="AD83" s="36">
        <v>110.66679999999999</v>
      </c>
    </row>
    <row r="84" spans="1:30" s="37" customFormat="1" ht="15.75" customHeight="1" x14ac:dyDescent="0.2">
      <c r="A84" s="26">
        <v>3347</v>
      </c>
      <c r="B84" s="27" t="s">
        <v>265</v>
      </c>
      <c r="C84" s="27" t="s">
        <v>116</v>
      </c>
      <c r="D84" s="28">
        <v>7.0000000000000007E-2</v>
      </c>
      <c r="E84" s="29">
        <v>7.68</v>
      </c>
      <c r="F84" s="29">
        <v>6.16</v>
      </c>
      <c r="G84" s="30" t="s">
        <v>87</v>
      </c>
      <c r="H84" s="27" t="s">
        <v>40</v>
      </c>
      <c r="I84" s="27" t="s">
        <v>49</v>
      </c>
      <c r="J84" s="27" t="s">
        <v>72</v>
      </c>
      <c r="K84" s="27" t="s">
        <v>73</v>
      </c>
      <c r="L84" s="31" t="s">
        <v>266</v>
      </c>
      <c r="M84" s="32">
        <v>0.35</v>
      </c>
      <c r="N84" s="27" t="s">
        <v>33</v>
      </c>
      <c r="O84" s="27" t="s">
        <v>34</v>
      </c>
      <c r="P84" s="27" t="s">
        <v>123</v>
      </c>
      <c r="Q84" s="27" t="s">
        <v>267</v>
      </c>
      <c r="R84" s="33">
        <v>33411</v>
      </c>
      <c r="S84" s="34">
        <v>42010</v>
      </c>
      <c r="T84" s="34">
        <v>42012</v>
      </c>
      <c r="U84" s="29">
        <v>125.9982</v>
      </c>
      <c r="V84" s="26">
        <v>1</v>
      </c>
      <c r="W84" s="29">
        <v>22.13</v>
      </c>
      <c r="X84" s="26">
        <v>89355</v>
      </c>
      <c r="Y84" s="35">
        <v>35.96</v>
      </c>
      <c r="Z84" s="1" t="s">
        <v>3011</v>
      </c>
      <c r="AA84" s="36">
        <v>0.53760000000000008</v>
      </c>
      <c r="AB84" s="54">
        <v>14.384499999999999</v>
      </c>
      <c r="AC84" s="54">
        <v>7.7454999999999989</v>
      </c>
      <c r="AD84" s="36">
        <v>-110.5658</v>
      </c>
    </row>
    <row r="85" spans="1:30" s="37" customFormat="1" ht="15.75" customHeight="1" x14ac:dyDescent="0.2">
      <c r="A85" s="26">
        <v>1829</v>
      </c>
      <c r="B85" s="27" t="s">
        <v>254</v>
      </c>
      <c r="C85" s="27" t="s">
        <v>48</v>
      </c>
      <c r="D85" s="28">
        <v>0.02</v>
      </c>
      <c r="E85" s="29">
        <v>15.51</v>
      </c>
      <c r="F85" s="29">
        <v>17.78</v>
      </c>
      <c r="G85" s="30" t="s">
        <v>39</v>
      </c>
      <c r="H85" s="27" t="s">
        <v>94</v>
      </c>
      <c r="I85" s="27" t="s">
        <v>49</v>
      </c>
      <c r="J85" s="27" t="s">
        <v>78</v>
      </c>
      <c r="K85" s="27" t="s">
        <v>73</v>
      </c>
      <c r="L85" s="31" t="s">
        <v>258</v>
      </c>
      <c r="M85" s="32">
        <v>0.59</v>
      </c>
      <c r="N85" s="27" t="s">
        <v>33</v>
      </c>
      <c r="O85" s="27" t="s">
        <v>53</v>
      </c>
      <c r="P85" s="27" t="s">
        <v>213</v>
      </c>
      <c r="Q85" s="27" t="s">
        <v>256</v>
      </c>
      <c r="R85" s="33">
        <v>52402</v>
      </c>
      <c r="S85" s="34">
        <v>42010</v>
      </c>
      <c r="T85" s="34">
        <v>42017</v>
      </c>
      <c r="U85" s="29">
        <v>-47.97</v>
      </c>
      <c r="V85" s="26">
        <v>1</v>
      </c>
      <c r="W85" s="29">
        <v>21.28</v>
      </c>
      <c r="X85" s="26">
        <v>86960</v>
      </c>
      <c r="Y85" s="35">
        <v>6.67</v>
      </c>
      <c r="Z85" s="1" t="s">
        <v>3012</v>
      </c>
      <c r="AA85" s="36">
        <v>0.31019999999999998</v>
      </c>
      <c r="AB85" s="54">
        <v>8.7248000000000019</v>
      </c>
      <c r="AC85" s="54">
        <v>12.555199999999999</v>
      </c>
      <c r="AD85" s="36">
        <v>51.159800000000004</v>
      </c>
    </row>
    <row r="86" spans="1:30" s="37" customFormat="1" ht="15.75" customHeight="1" x14ac:dyDescent="0.2">
      <c r="A86" s="26">
        <v>211</v>
      </c>
      <c r="B86" s="27" t="s">
        <v>262</v>
      </c>
      <c r="C86" s="27" t="s">
        <v>116</v>
      </c>
      <c r="D86" s="28">
        <v>0.01</v>
      </c>
      <c r="E86" s="29">
        <v>10.06</v>
      </c>
      <c r="F86" s="29">
        <v>2.06</v>
      </c>
      <c r="G86" s="30" t="s">
        <v>39</v>
      </c>
      <c r="H86" s="27" t="s">
        <v>40</v>
      </c>
      <c r="I86" s="27" t="s">
        <v>49</v>
      </c>
      <c r="J86" s="27" t="s">
        <v>88</v>
      </c>
      <c r="K86" s="27" t="s">
        <v>51</v>
      </c>
      <c r="L86" s="31" t="s">
        <v>173</v>
      </c>
      <c r="M86" s="32">
        <v>0.39</v>
      </c>
      <c r="N86" s="27" t="s">
        <v>33</v>
      </c>
      <c r="O86" s="27" t="s">
        <v>111</v>
      </c>
      <c r="P86" s="27" t="s">
        <v>112</v>
      </c>
      <c r="Q86" s="27" t="s">
        <v>263</v>
      </c>
      <c r="R86" s="33">
        <v>13501</v>
      </c>
      <c r="S86" s="34">
        <v>42010</v>
      </c>
      <c r="T86" s="34">
        <v>42012</v>
      </c>
      <c r="U86" s="29">
        <v>7.59</v>
      </c>
      <c r="V86" s="26">
        <v>2</v>
      </c>
      <c r="W86" s="29">
        <v>21.2</v>
      </c>
      <c r="X86" s="26">
        <v>85964</v>
      </c>
      <c r="Y86" s="35">
        <v>42.98</v>
      </c>
      <c r="Z86" s="1" t="s">
        <v>3014</v>
      </c>
      <c r="AA86" s="36">
        <v>0.20120000000000002</v>
      </c>
      <c r="AB86" s="54">
        <v>12.931999999999999</v>
      </c>
      <c r="AC86" s="54">
        <v>4.1340000000000003</v>
      </c>
      <c r="AD86" s="36">
        <v>11.348799999999999</v>
      </c>
    </row>
    <row r="87" spans="1:30" s="37" customFormat="1" ht="15.75" customHeight="1" x14ac:dyDescent="0.2">
      <c r="A87" s="26">
        <v>1829</v>
      </c>
      <c r="B87" s="27" t="s">
        <v>254</v>
      </c>
      <c r="C87" s="27" t="s">
        <v>48</v>
      </c>
      <c r="D87" s="28">
        <v>0.04</v>
      </c>
      <c r="E87" s="29">
        <v>3.52</v>
      </c>
      <c r="F87" s="29">
        <v>6.83</v>
      </c>
      <c r="G87" s="30" t="s">
        <v>39</v>
      </c>
      <c r="H87" s="27" t="s">
        <v>94</v>
      </c>
      <c r="I87" s="27" t="s">
        <v>49</v>
      </c>
      <c r="J87" s="27" t="s">
        <v>72</v>
      </c>
      <c r="K87" s="27" t="s">
        <v>73</v>
      </c>
      <c r="L87" s="31" t="s">
        <v>257</v>
      </c>
      <c r="M87" s="32">
        <v>0.38</v>
      </c>
      <c r="N87" s="27" t="s">
        <v>33</v>
      </c>
      <c r="O87" s="27" t="s">
        <v>53</v>
      </c>
      <c r="P87" s="27" t="s">
        <v>213</v>
      </c>
      <c r="Q87" s="27" t="s">
        <v>256</v>
      </c>
      <c r="R87" s="33">
        <v>52402</v>
      </c>
      <c r="S87" s="34">
        <v>42010</v>
      </c>
      <c r="T87" s="34">
        <v>42019</v>
      </c>
      <c r="U87" s="29">
        <v>-57.753</v>
      </c>
      <c r="V87" s="26">
        <v>4</v>
      </c>
      <c r="W87" s="29">
        <v>15.93</v>
      </c>
      <c r="X87" s="26">
        <v>86960</v>
      </c>
      <c r="Y87" s="35">
        <v>21.75</v>
      </c>
      <c r="Z87" s="1" t="s">
        <v>3012</v>
      </c>
      <c r="AA87" s="36">
        <v>0.56320000000000003</v>
      </c>
      <c r="AB87" s="54">
        <v>9.8765999999999998</v>
      </c>
      <c r="AC87" s="54">
        <v>1.51335</v>
      </c>
      <c r="AD87" s="36">
        <v>66.2898</v>
      </c>
    </row>
    <row r="88" spans="1:30" s="37" customFormat="1" ht="15.75" customHeight="1" x14ac:dyDescent="0.2">
      <c r="A88" s="26">
        <v>3285</v>
      </c>
      <c r="B88" s="27" t="s">
        <v>283</v>
      </c>
      <c r="C88" s="27" t="s">
        <v>3094</v>
      </c>
      <c r="D88" s="28">
        <v>0.06</v>
      </c>
      <c r="E88" s="29">
        <v>1.7</v>
      </c>
      <c r="F88" s="29">
        <v>1.99</v>
      </c>
      <c r="G88" s="30" t="s">
        <v>39</v>
      </c>
      <c r="H88" s="27" t="s">
        <v>40</v>
      </c>
      <c r="I88" s="27" t="s">
        <v>41</v>
      </c>
      <c r="J88" s="27" t="s">
        <v>42</v>
      </c>
      <c r="K88" s="27" t="s">
        <v>43</v>
      </c>
      <c r="L88" s="31" t="s">
        <v>284</v>
      </c>
      <c r="M88" s="32">
        <v>0.51</v>
      </c>
      <c r="N88" s="27" t="s">
        <v>33</v>
      </c>
      <c r="O88" s="27" t="s">
        <v>34</v>
      </c>
      <c r="P88" s="27" t="s">
        <v>242</v>
      </c>
      <c r="Q88" s="27" t="s">
        <v>285</v>
      </c>
      <c r="R88" s="33">
        <v>20170</v>
      </c>
      <c r="S88" s="34">
        <v>42010</v>
      </c>
      <c r="T88" s="34">
        <v>42011</v>
      </c>
      <c r="U88" s="29">
        <v>80.071200000000005</v>
      </c>
      <c r="V88" s="26">
        <v>7</v>
      </c>
      <c r="W88" s="29">
        <v>12.15</v>
      </c>
      <c r="X88" s="26">
        <v>90750</v>
      </c>
      <c r="Y88" s="35">
        <v>1.64</v>
      </c>
      <c r="Z88" s="1" t="s">
        <v>3011</v>
      </c>
      <c r="AA88" s="36">
        <v>0.71399999999999997</v>
      </c>
      <c r="AB88" s="54">
        <v>5.9535</v>
      </c>
      <c r="AC88" s="54">
        <v>0.88521428571428573</v>
      </c>
      <c r="AD88" s="36">
        <v>-70.625199999999992</v>
      </c>
    </row>
    <row r="89" spans="1:30" s="37" customFormat="1" ht="15.75" customHeight="1" x14ac:dyDescent="0.2">
      <c r="A89" s="26">
        <v>2418</v>
      </c>
      <c r="B89" s="27" t="s">
        <v>240</v>
      </c>
      <c r="C89" s="27" t="s">
        <v>26</v>
      </c>
      <c r="D89" s="28">
        <v>0.03</v>
      </c>
      <c r="E89" s="29">
        <v>2.1</v>
      </c>
      <c r="F89" s="29">
        <v>0.7</v>
      </c>
      <c r="G89" s="30" t="s">
        <v>39</v>
      </c>
      <c r="H89" s="27" t="s">
        <v>40</v>
      </c>
      <c r="I89" s="27" t="s">
        <v>49</v>
      </c>
      <c r="J89" s="27" t="s">
        <v>50</v>
      </c>
      <c r="K89" s="27" t="s">
        <v>51</v>
      </c>
      <c r="L89" s="31" t="s">
        <v>241</v>
      </c>
      <c r="M89" s="32">
        <v>0.56999999999999995</v>
      </c>
      <c r="N89" s="27" t="s">
        <v>33</v>
      </c>
      <c r="O89" s="27" t="s">
        <v>34</v>
      </c>
      <c r="P89" s="27" t="s">
        <v>242</v>
      </c>
      <c r="Q89" s="27" t="s">
        <v>243</v>
      </c>
      <c r="R89" s="33">
        <v>23805</v>
      </c>
      <c r="S89" s="34">
        <v>42010</v>
      </c>
      <c r="T89" s="34">
        <v>42011</v>
      </c>
      <c r="U89" s="29">
        <v>-1473.9059999999999</v>
      </c>
      <c r="V89" s="26">
        <v>4</v>
      </c>
      <c r="W89" s="29">
        <v>8.7200000000000006</v>
      </c>
      <c r="X89" s="26">
        <v>86750</v>
      </c>
      <c r="Y89" s="35">
        <v>30.97</v>
      </c>
      <c r="Z89" s="1" t="s">
        <v>3011</v>
      </c>
      <c r="AA89" s="36">
        <v>0.252</v>
      </c>
      <c r="AB89" s="54">
        <v>3.7496000000000005</v>
      </c>
      <c r="AC89" s="54">
        <v>1.2425999999999999</v>
      </c>
      <c r="AD89" s="36">
        <v>1481.674</v>
      </c>
    </row>
    <row r="90" spans="1:30" s="37" customFormat="1" ht="15.75" customHeight="1" x14ac:dyDescent="0.2">
      <c r="A90" s="26">
        <v>1606</v>
      </c>
      <c r="B90" s="27" t="s">
        <v>310</v>
      </c>
      <c r="C90" s="27" t="s">
        <v>116</v>
      </c>
      <c r="D90" s="28">
        <v>7.0000000000000007E-2</v>
      </c>
      <c r="E90" s="29">
        <v>6783.02</v>
      </c>
      <c r="F90" s="29">
        <v>24.49</v>
      </c>
      <c r="G90" s="30" t="s">
        <v>39</v>
      </c>
      <c r="H90" s="27" t="s">
        <v>71</v>
      </c>
      <c r="I90" s="27" t="s">
        <v>41</v>
      </c>
      <c r="J90" s="27" t="s">
        <v>57</v>
      </c>
      <c r="K90" s="27" t="s">
        <v>65</v>
      </c>
      <c r="L90" s="31" t="s">
        <v>314</v>
      </c>
      <c r="M90" s="32">
        <v>0.39</v>
      </c>
      <c r="N90" s="27" t="s">
        <v>33</v>
      </c>
      <c r="O90" s="27" t="s">
        <v>111</v>
      </c>
      <c r="P90" s="27" t="s">
        <v>112</v>
      </c>
      <c r="Q90" s="27" t="s">
        <v>312</v>
      </c>
      <c r="R90" s="33">
        <v>11010</v>
      </c>
      <c r="S90" s="34">
        <v>42011</v>
      </c>
      <c r="T90" s="34">
        <v>42012</v>
      </c>
      <c r="U90" s="29">
        <v>77.983599999999996</v>
      </c>
      <c r="V90" s="26">
        <v>2</v>
      </c>
      <c r="W90" s="29">
        <v>13121.07</v>
      </c>
      <c r="X90" s="26">
        <v>87993</v>
      </c>
      <c r="Y90" s="35">
        <v>14.17</v>
      </c>
      <c r="Z90" s="1" t="s">
        <v>3014</v>
      </c>
      <c r="AA90" s="36">
        <v>949.6228000000001</v>
      </c>
      <c r="AB90" s="54">
        <v>8003.8526999999995</v>
      </c>
      <c r="AC90" s="54">
        <v>2558.6086500000001</v>
      </c>
      <c r="AD90" s="36">
        <v>12068.973599999999</v>
      </c>
    </row>
    <row r="91" spans="1:30" s="37" customFormat="1" ht="15.75" customHeight="1" x14ac:dyDescent="0.2">
      <c r="A91" s="26">
        <v>3079</v>
      </c>
      <c r="B91" s="27" t="s">
        <v>319</v>
      </c>
      <c r="C91" s="27" t="s">
        <v>116</v>
      </c>
      <c r="D91" s="28">
        <v>0</v>
      </c>
      <c r="E91" s="29">
        <v>137.47999999999999</v>
      </c>
      <c r="F91" s="29">
        <v>32.18</v>
      </c>
      <c r="G91" s="30" t="s">
        <v>27</v>
      </c>
      <c r="H91" s="27" t="s">
        <v>3095</v>
      </c>
      <c r="I91" s="27" t="s">
        <v>29</v>
      </c>
      <c r="J91" s="27" t="s">
        <v>117</v>
      </c>
      <c r="K91" s="27" t="s">
        <v>31</v>
      </c>
      <c r="L91" s="31" t="s">
        <v>316</v>
      </c>
      <c r="M91" s="32">
        <v>0.78</v>
      </c>
      <c r="N91" s="27" t="s">
        <v>33</v>
      </c>
      <c r="O91" s="27" t="s">
        <v>111</v>
      </c>
      <c r="P91" s="27" t="s">
        <v>320</v>
      </c>
      <c r="Q91" s="27" t="s">
        <v>321</v>
      </c>
      <c r="R91" s="33">
        <v>19112</v>
      </c>
      <c r="S91" s="34">
        <v>42011</v>
      </c>
      <c r="T91" s="34">
        <v>42012</v>
      </c>
      <c r="U91" s="29">
        <v>-203.27</v>
      </c>
      <c r="V91" s="26">
        <v>10</v>
      </c>
      <c r="W91" s="29">
        <v>1483.76</v>
      </c>
      <c r="X91" s="26">
        <v>12480</v>
      </c>
      <c r="Y91" s="35">
        <v>2.83</v>
      </c>
      <c r="Z91" s="1" t="s">
        <v>3014</v>
      </c>
      <c r="AA91" s="36">
        <v>0</v>
      </c>
      <c r="AB91" s="54">
        <v>326.42719999999997</v>
      </c>
      <c r="AC91" s="54">
        <v>115.73328000000001</v>
      </c>
      <c r="AD91" s="36">
        <v>1654.85</v>
      </c>
    </row>
    <row r="92" spans="1:30" s="37" customFormat="1" ht="15.75" customHeight="1" x14ac:dyDescent="0.2">
      <c r="A92" s="26">
        <v>1606</v>
      </c>
      <c r="B92" s="27" t="s">
        <v>310</v>
      </c>
      <c r="C92" s="27" t="s">
        <v>116</v>
      </c>
      <c r="D92" s="28">
        <v>7.0000000000000007E-2</v>
      </c>
      <c r="E92" s="29">
        <v>699.99</v>
      </c>
      <c r="F92" s="29">
        <v>24.49</v>
      </c>
      <c r="G92" s="30" t="s">
        <v>87</v>
      </c>
      <c r="H92" s="27" t="s">
        <v>71</v>
      </c>
      <c r="I92" s="27" t="s">
        <v>41</v>
      </c>
      <c r="J92" s="27" t="s">
        <v>64</v>
      </c>
      <c r="K92" s="27" t="s">
        <v>65</v>
      </c>
      <c r="L92" s="31" t="s">
        <v>313</v>
      </c>
      <c r="M92" s="32">
        <v>0.41</v>
      </c>
      <c r="N92" s="27" t="s">
        <v>33</v>
      </c>
      <c r="O92" s="27" t="s">
        <v>111</v>
      </c>
      <c r="P92" s="27" t="s">
        <v>112</v>
      </c>
      <c r="Q92" s="27" t="s">
        <v>312</v>
      </c>
      <c r="R92" s="33">
        <v>11010</v>
      </c>
      <c r="S92" s="34">
        <v>42011</v>
      </c>
      <c r="T92" s="34">
        <v>42012</v>
      </c>
      <c r="U92" s="29">
        <v>-2870.2775999999999</v>
      </c>
      <c r="V92" s="26">
        <v>1</v>
      </c>
      <c r="W92" s="29">
        <v>706.56</v>
      </c>
      <c r="X92" s="26">
        <v>87993</v>
      </c>
      <c r="Y92" s="35">
        <v>15.91</v>
      </c>
      <c r="Z92" s="1" t="s">
        <v>3014</v>
      </c>
      <c r="AA92" s="36">
        <v>48.999300000000005</v>
      </c>
      <c r="AB92" s="54">
        <v>416.87040000000002</v>
      </c>
      <c r="AC92" s="54">
        <v>289.68959999999998</v>
      </c>
      <c r="AD92" s="36">
        <v>3503.3483000000001</v>
      </c>
    </row>
    <row r="93" spans="1:30" s="37" customFormat="1" ht="15.75" customHeight="1" x14ac:dyDescent="0.2">
      <c r="A93" s="26">
        <v>3076</v>
      </c>
      <c r="B93" s="27" t="s">
        <v>315</v>
      </c>
      <c r="C93" s="27" t="s">
        <v>116</v>
      </c>
      <c r="D93" s="28">
        <v>0</v>
      </c>
      <c r="E93" s="29">
        <v>137.47999999999999</v>
      </c>
      <c r="F93" s="29">
        <v>32.18</v>
      </c>
      <c r="G93" s="30" t="s">
        <v>27</v>
      </c>
      <c r="H93" s="27" t="s">
        <v>3095</v>
      </c>
      <c r="I93" s="27" t="s">
        <v>29</v>
      </c>
      <c r="J93" s="27" t="s">
        <v>117</v>
      </c>
      <c r="K93" s="27" t="s">
        <v>31</v>
      </c>
      <c r="L93" s="31" t="s">
        <v>316</v>
      </c>
      <c r="M93" s="32">
        <v>0.78</v>
      </c>
      <c r="N93" s="27" t="s">
        <v>33</v>
      </c>
      <c r="O93" s="27" t="s">
        <v>111</v>
      </c>
      <c r="P93" s="27" t="s">
        <v>317</v>
      </c>
      <c r="Q93" s="27" t="s">
        <v>318</v>
      </c>
      <c r="R93" s="33">
        <v>44224</v>
      </c>
      <c r="S93" s="34">
        <v>42011</v>
      </c>
      <c r="T93" s="34">
        <v>42012</v>
      </c>
      <c r="U93" s="29">
        <v>-203.27</v>
      </c>
      <c r="V93" s="26">
        <v>2</v>
      </c>
      <c r="W93" s="29">
        <v>296.75</v>
      </c>
      <c r="X93" s="26">
        <v>88241</v>
      </c>
      <c r="Y93" s="35">
        <v>65.92</v>
      </c>
      <c r="Z93" s="1" t="s">
        <v>3014</v>
      </c>
      <c r="AA93" s="36">
        <v>0</v>
      </c>
      <c r="AB93" s="54">
        <v>65.284999999999997</v>
      </c>
      <c r="AC93" s="54">
        <v>115.7325</v>
      </c>
      <c r="AD93" s="36">
        <v>467.84000000000003</v>
      </c>
    </row>
    <row r="94" spans="1:30" s="37" customFormat="1" ht="15.75" customHeight="1" x14ac:dyDescent="0.2">
      <c r="A94" s="26">
        <v>619</v>
      </c>
      <c r="B94" s="27" t="s">
        <v>287</v>
      </c>
      <c r="C94" s="27" t="s">
        <v>26</v>
      </c>
      <c r="D94" s="28">
        <v>0.03</v>
      </c>
      <c r="E94" s="29">
        <v>14.2</v>
      </c>
      <c r="F94" s="29">
        <v>5.3</v>
      </c>
      <c r="G94" s="30" t="s">
        <v>39</v>
      </c>
      <c r="H94" s="27" t="s">
        <v>40</v>
      </c>
      <c r="I94" s="27" t="s">
        <v>29</v>
      </c>
      <c r="J94" s="27" t="s">
        <v>126</v>
      </c>
      <c r="K94" s="27" t="s">
        <v>51</v>
      </c>
      <c r="L94" s="31" t="s">
        <v>288</v>
      </c>
      <c r="M94" s="32">
        <v>0.46</v>
      </c>
      <c r="N94" s="27" t="s">
        <v>33</v>
      </c>
      <c r="O94" s="27" t="s">
        <v>53</v>
      </c>
      <c r="P94" s="27" t="s">
        <v>289</v>
      </c>
      <c r="Q94" s="27" t="s">
        <v>290</v>
      </c>
      <c r="R94" s="33">
        <v>48195</v>
      </c>
      <c r="S94" s="34">
        <v>42011</v>
      </c>
      <c r="T94" s="34">
        <v>42012</v>
      </c>
      <c r="U94" s="29">
        <v>107.02</v>
      </c>
      <c r="V94" s="26">
        <v>14</v>
      </c>
      <c r="W94" s="29">
        <v>205.98</v>
      </c>
      <c r="X94" s="26">
        <v>88196</v>
      </c>
      <c r="Y94" s="35">
        <v>5.05</v>
      </c>
      <c r="Z94" s="1" t="s">
        <v>3012</v>
      </c>
      <c r="AA94" s="36">
        <v>5.9639999999999995</v>
      </c>
      <c r="AB94" s="54">
        <v>111.22920000000001</v>
      </c>
      <c r="AC94" s="54">
        <v>6.7679142857142862</v>
      </c>
      <c r="AD94" s="36">
        <v>87.695999999999998</v>
      </c>
    </row>
    <row r="95" spans="1:30" s="37" customFormat="1" ht="15.75" customHeight="1" x14ac:dyDescent="0.2">
      <c r="A95" s="26">
        <v>3303</v>
      </c>
      <c r="B95" s="27" t="s">
        <v>304</v>
      </c>
      <c r="C95" s="27" t="s">
        <v>48</v>
      </c>
      <c r="D95" s="28">
        <v>0.04</v>
      </c>
      <c r="E95" s="29">
        <v>33.89</v>
      </c>
      <c r="F95" s="29">
        <v>5.0999999999999996</v>
      </c>
      <c r="G95" s="30" t="s">
        <v>39</v>
      </c>
      <c r="H95" s="27" t="s">
        <v>71</v>
      </c>
      <c r="I95" s="27" t="s">
        <v>49</v>
      </c>
      <c r="J95" s="27" t="s">
        <v>78</v>
      </c>
      <c r="K95" s="27" t="s">
        <v>73</v>
      </c>
      <c r="L95" s="31" t="s">
        <v>305</v>
      </c>
      <c r="M95" s="32">
        <v>0.6</v>
      </c>
      <c r="N95" s="27" t="s">
        <v>33</v>
      </c>
      <c r="O95" s="27" t="s">
        <v>34</v>
      </c>
      <c r="P95" s="27" t="s">
        <v>123</v>
      </c>
      <c r="Q95" s="27" t="s">
        <v>306</v>
      </c>
      <c r="R95" s="33">
        <v>33461</v>
      </c>
      <c r="S95" s="34">
        <v>42011</v>
      </c>
      <c r="T95" s="34">
        <v>42016</v>
      </c>
      <c r="U95" s="29">
        <v>68.676000000000002</v>
      </c>
      <c r="V95" s="26">
        <v>6</v>
      </c>
      <c r="W95" s="29">
        <v>200.64</v>
      </c>
      <c r="X95" s="26">
        <v>87795</v>
      </c>
      <c r="Y95" s="35">
        <v>7.08</v>
      </c>
      <c r="Z95" s="1" t="s">
        <v>3011</v>
      </c>
      <c r="AA95" s="36">
        <v>8.1336000000000013</v>
      </c>
      <c r="AB95" s="54">
        <v>80.256</v>
      </c>
      <c r="AC95" s="54">
        <v>20.063999999999997</v>
      </c>
      <c r="AD95" s="36">
        <v>118.73039999999999</v>
      </c>
    </row>
    <row r="96" spans="1:30" s="37" customFormat="1" ht="15.75" customHeight="1" x14ac:dyDescent="0.2">
      <c r="A96" s="26">
        <v>651</v>
      </c>
      <c r="B96" s="27" t="s">
        <v>294</v>
      </c>
      <c r="C96" s="27" t="s">
        <v>38</v>
      </c>
      <c r="D96" s="28">
        <v>0.08</v>
      </c>
      <c r="E96" s="29">
        <v>15.99</v>
      </c>
      <c r="F96" s="29">
        <v>13.18</v>
      </c>
      <c r="G96" s="30" t="s">
        <v>39</v>
      </c>
      <c r="H96" s="27" t="s">
        <v>40</v>
      </c>
      <c r="I96" s="27" t="s">
        <v>49</v>
      </c>
      <c r="J96" s="27" t="s">
        <v>72</v>
      </c>
      <c r="K96" s="27" t="s">
        <v>73</v>
      </c>
      <c r="L96" s="31" t="s">
        <v>295</v>
      </c>
      <c r="M96" s="32">
        <v>0.37</v>
      </c>
      <c r="N96" s="27" t="s">
        <v>33</v>
      </c>
      <c r="O96" s="27" t="s">
        <v>60</v>
      </c>
      <c r="P96" s="27" t="s">
        <v>296</v>
      </c>
      <c r="Q96" s="27" t="s">
        <v>297</v>
      </c>
      <c r="R96" s="33">
        <v>89115</v>
      </c>
      <c r="S96" s="34">
        <v>42011</v>
      </c>
      <c r="T96" s="34">
        <v>42012</v>
      </c>
      <c r="U96" s="29">
        <v>-246.92616000000001</v>
      </c>
      <c r="V96" s="26">
        <v>12</v>
      </c>
      <c r="W96" s="29">
        <v>192.33</v>
      </c>
      <c r="X96" s="26">
        <v>91575</v>
      </c>
      <c r="Y96" s="35">
        <v>33.85</v>
      </c>
      <c r="Z96" s="1" t="s">
        <v>3013</v>
      </c>
      <c r="AA96" s="36">
        <v>15.3504</v>
      </c>
      <c r="AB96" s="54">
        <v>121.1679</v>
      </c>
      <c r="AC96" s="54">
        <v>5.9301750000000002</v>
      </c>
      <c r="AD96" s="36">
        <v>410.72576000000004</v>
      </c>
    </row>
    <row r="97" spans="1:30" s="37" customFormat="1" ht="15.75" customHeight="1" x14ac:dyDescent="0.2">
      <c r="A97" s="26">
        <v>2630</v>
      </c>
      <c r="B97" s="27" t="s">
        <v>205</v>
      </c>
      <c r="C97" s="27" t="s">
        <v>38</v>
      </c>
      <c r="D97" s="28">
        <v>7.0000000000000007E-2</v>
      </c>
      <c r="E97" s="29">
        <v>65.989999999999995</v>
      </c>
      <c r="F97" s="29">
        <v>5.99</v>
      </c>
      <c r="G97" s="30" t="s">
        <v>39</v>
      </c>
      <c r="H97" s="27" t="s">
        <v>3095</v>
      </c>
      <c r="I97" s="27" t="s">
        <v>41</v>
      </c>
      <c r="J97" s="27" t="s">
        <v>135</v>
      </c>
      <c r="K97" s="27" t="s">
        <v>73</v>
      </c>
      <c r="L97" s="31" t="s">
        <v>298</v>
      </c>
      <c r="M97" s="32">
        <v>0.57999999999999996</v>
      </c>
      <c r="N97" s="27" t="s">
        <v>33</v>
      </c>
      <c r="O97" s="27" t="s">
        <v>53</v>
      </c>
      <c r="P97" s="27" t="s">
        <v>207</v>
      </c>
      <c r="Q97" s="27" t="s">
        <v>208</v>
      </c>
      <c r="R97" s="33">
        <v>73071</v>
      </c>
      <c r="S97" s="34">
        <v>42011</v>
      </c>
      <c r="T97" s="34">
        <v>42012</v>
      </c>
      <c r="U97" s="29">
        <v>-139.18256</v>
      </c>
      <c r="V97" s="26">
        <v>3</v>
      </c>
      <c r="W97" s="29">
        <v>165.71</v>
      </c>
      <c r="X97" s="26">
        <v>85915</v>
      </c>
      <c r="Y97" s="35">
        <v>73.95</v>
      </c>
      <c r="Z97" s="1" t="s">
        <v>3012</v>
      </c>
      <c r="AA97" s="36">
        <v>13.857900000000001</v>
      </c>
      <c r="AB97" s="54">
        <v>69.598200000000006</v>
      </c>
      <c r="AC97" s="54">
        <v>32.037266666666667</v>
      </c>
      <c r="AD97" s="36">
        <v>285.04466000000002</v>
      </c>
    </row>
    <row r="98" spans="1:30" s="37" customFormat="1" ht="15.75" customHeight="1" x14ac:dyDescent="0.2">
      <c r="A98" s="26">
        <v>1367</v>
      </c>
      <c r="B98" s="27" t="s">
        <v>307</v>
      </c>
      <c r="C98" s="27" t="s">
        <v>116</v>
      </c>
      <c r="D98" s="28">
        <v>0.03</v>
      </c>
      <c r="E98" s="29">
        <v>73.98</v>
      </c>
      <c r="F98" s="29">
        <v>14.52</v>
      </c>
      <c r="G98" s="30" t="s">
        <v>39</v>
      </c>
      <c r="H98" s="27" t="s">
        <v>40</v>
      </c>
      <c r="I98" s="27" t="s">
        <v>41</v>
      </c>
      <c r="J98" s="27" t="s">
        <v>42</v>
      </c>
      <c r="K98" s="27" t="s">
        <v>73</v>
      </c>
      <c r="L98" s="31" t="s">
        <v>308</v>
      </c>
      <c r="M98" s="32">
        <v>0.65</v>
      </c>
      <c r="N98" s="27" t="s">
        <v>33</v>
      </c>
      <c r="O98" s="27" t="s">
        <v>53</v>
      </c>
      <c r="P98" s="27" t="s">
        <v>187</v>
      </c>
      <c r="Q98" s="27" t="s">
        <v>309</v>
      </c>
      <c r="R98" s="33">
        <v>79424</v>
      </c>
      <c r="S98" s="34">
        <v>42011</v>
      </c>
      <c r="T98" s="34">
        <v>42014</v>
      </c>
      <c r="U98" s="29">
        <v>-326.23160000000001</v>
      </c>
      <c r="V98" s="26">
        <v>1</v>
      </c>
      <c r="W98" s="29">
        <v>79.02</v>
      </c>
      <c r="X98" s="26">
        <v>90513</v>
      </c>
      <c r="Y98" s="35">
        <v>1.93</v>
      </c>
      <c r="Z98" s="1" t="s">
        <v>3012</v>
      </c>
      <c r="AA98" s="36">
        <v>2.2193999999999998</v>
      </c>
      <c r="AB98" s="54">
        <v>27.656999999999996</v>
      </c>
      <c r="AC98" s="54">
        <v>51.363</v>
      </c>
      <c r="AD98" s="36">
        <v>388.51220000000001</v>
      </c>
    </row>
    <row r="99" spans="1:30" s="37" customFormat="1" ht="15.75" customHeight="1" x14ac:dyDescent="0.2">
      <c r="A99" s="26">
        <v>3123</v>
      </c>
      <c r="B99" s="27" t="s">
        <v>302</v>
      </c>
      <c r="C99" s="27" t="s">
        <v>48</v>
      </c>
      <c r="D99" s="28">
        <v>0.02</v>
      </c>
      <c r="E99" s="29">
        <v>7.1</v>
      </c>
      <c r="F99" s="29">
        <v>6.05</v>
      </c>
      <c r="G99" s="30" t="s">
        <v>39</v>
      </c>
      <c r="H99" s="27" t="s">
        <v>71</v>
      </c>
      <c r="I99" s="27" t="s">
        <v>49</v>
      </c>
      <c r="J99" s="27" t="s">
        <v>72</v>
      </c>
      <c r="K99" s="27" t="s">
        <v>73</v>
      </c>
      <c r="L99" s="31" t="s">
        <v>251</v>
      </c>
      <c r="M99" s="32">
        <v>0.39</v>
      </c>
      <c r="N99" s="27" t="s">
        <v>33</v>
      </c>
      <c r="O99" s="27" t="s">
        <v>53</v>
      </c>
      <c r="P99" s="27" t="s">
        <v>103</v>
      </c>
      <c r="Q99" s="27" t="s">
        <v>303</v>
      </c>
      <c r="R99" s="33">
        <v>60160</v>
      </c>
      <c r="S99" s="34">
        <v>42011</v>
      </c>
      <c r="T99" s="34">
        <v>42013</v>
      </c>
      <c r="U99" s="29">
        <v>-48.875</v>
      </c>
      <c r="V99" s="26">
        <v>8</v>
      </c>
      <c r="W99" s="29">
        <v>61.5</v>
      </c>
      <c r="X99" s="26">
        <v>87287</v>
      </c>
      <c r="Y99" s="35">
        <v>699.92</v>
      </c>
      <c r="Z99" s="1" t="s">
        <v>3012</v>
      </c>
      <c r="AA99" s="36">
        <v>1.1359999999999999</v>
      </c>
      <c r="AB99" s="54">
        <v>37.515000000000001</v>
      </c>
      <c r="AC99" s="54">
        <v>2.9981249999999999</v>
      </c>
      <c r="AD99" s="36">
        <v>103.18899999999999</v>
      </c>
    </row>
    <row r="100" spans="1:30" s="37" customFormat="1" ht="15.75" customHeight="1" x14ac:dyDescent="0.2">
      <c r="A100" s="26">
        <v>1781</v>
      </c>
      <c r="B100" s="27" t="s">
        <v>299</v>
      </c>
      <c r="C100" s="27" t="s">
        <v>48</v>
      </c>
      <c r="D100" s="28">
        <v>0.03</v>
      </c>
      <c r="E100" s="29">
        <v>5.08</v>
      </c>
      <c r="F100" s="29">
        <v>2.0299999999999998</v>
      </c>
      <c r="G100" s="30" t="s">
        <v>39</v>
      </c>
      <c r="H100" s="27" t="s">
        <v>71</v>
      </c>
      <c r="I100" s="27" t="s">
        <v>29</v>
      </c>
      <c r="J100" s="27" t="s">
        <v>126</v>
      </c>
      <c r="K100" s="27" t="s">
        <v>51</v>
      </c>
      <c r="L100" s="31" t="s">
        <v>300</v>
      </c>
      <c r="M100" s="32">
        <v>0.51</v>
      </c>
      <c r="N100" s="27" t="s">
        <v>33</v>
      </c>
      <c r="O100" s="27" t="s">
        <v>60</v>
      </c>
      <c r="P100" s="27" t="s">
        <v>90</v>
      </c>
      <c r="Q100" s="27" t="s">
        <v>301</v>
      </c>
      <c r="R100" s="33">
        <v>94070</v>
      </c>
      <c r="S100" s="34">
        <v>42011</v>
      </c>
      <c r="T100" s="34">
        <v>42016</v>
      </c>
      <c r="U100" s="29">
        <v>15.1524</v>
      </c>
      <c r="V100" s="26">
        <v>4</v>
      </c>
      <c r="W100" s="29">
        <v>21.96</v>
      </c>
      <c r="X100" s="26">
        <v>89858</v>
      </c>
      <c r="Y100" s="35">
        <v>6782.9500000000007</v>
      </c>
      <c r="Z100" s="1" t="s">
        <v>3013</v>
      </c>
      <c r="AA100" s="36">
        <v>0.60960000000000003</v>
      </c>
      <c r="AB100" s="54">
        <v>10.760400000000001</v>
      </c>
      <c r="AC100" s="54">
        <v>2.7999000000000001</v>
      </c>
      <c r="AD100" s="36">
        <v>4.1679999999999993</v>
      </c>
    </row>
    <row r="101" spans="1:30" s="37" customFormat="1" ht="15.75" customHeight="1" x14ac:dyDescent="0.2">
      <c r="A101" s="26">
        <v>3</v>
      </c>
      <c r="B101" s="27" t="s">
        <v>291</v>
      </c>
      <c r="C101" s="27" t="s">
        <v>38</v>
      </c>
      <c r="D101" s="28">
        <v>0.01</v>
      </c>
      <c r="E101" s="29">
        <v>2.84</v>
      </c>
      <c r="F101" s="29">
        <v>0.93</v>
      </c>
      <c r="G101" s="30" t="s">
        <v>87</v>
      </c>
      <c r="H101" s="27" t="s">
        <v>94</v>
      </c>
      <c r="I101" s="27" t="s">
        <v>49</v>
      </c>
      <c r="J101" s="27" t="s">
        <v>50</v>
      </c>
      <c r="K101" s="27" t="s">
        <v>51</v>
      </c>
      <c r="L101" s="31" t="s">
        <v>292</v>
      </c>
      <c r="M101" s="32">
        <v>0.54</v>
      </c>
      <c r="N101" s="27" t="s">
        <v>33</v>
      </c>
      <c r="O101" s="27" t="s">
        <v>60</v>
      </c>
      <c r="P101" s="27" t="s">
        <v>67</v>
      </c>
      <c r="Q101" s="27" t="s">
        <v>293</v>
      </c>
      <c r="R101" s="33">
        <v>98221</v>
      </c>
      <c r="S101" s="34">
        <v>42011</v>
      </c>
      <c r="T101" s="34">
        <v>42012</v>
      </c>
      <c r="U101" s="29">
        <v>4.5599999999999996</v>
      </c>
      <c r="V101" s="26">
        <v>4</v>
      </c>
      <c r="W101" s="29">
        <v>13.01</v>
      </c>
      <c r="X101" s="26">
        <v>88522</v>
      </c>
      <c r="Y101" s="35">
        <v>137.47999999999999</v>
      </c>
      <c r="Z101" s="1" t="s">
        <v>3013</v>
      </c>
      <c r="AA101" s="36">
        <v>0.11359999999999999</v>
      </c>
      <c r="AB101" s="54">
        <v>5.9845999999999995</v>
      </c>
      <c r="AC101" s="54">
        <v>1.7563500000000001</v>
      </c>
      <c r="AD101" s="36">
        <v>7.4064000000000005</v>
      </c>
    </row>
    <row r="102" spans="1:30" s="37" customFormat="1" ht="15.75" customHeight="1" x14ac:dyDescent="0.2">
      <c r="A102" s="26">
        <v>1606</v>
      </c>
      <c r="B102" s="27" t="s">
        <v>310</v>
      </c>
      <c r="C102" s="27" t="s">
        <v>116</v>
      </c>
      <c r="D102" s="28">
        <v>0.05</v>
      </c>
      <c r="E102" s="29">
        <v>1.98</v>
      </c>
      <c r="F102" s="29">
        <v>4.7699999999999996</v>
      </c>
      <c r="G102" s="30" t="s">
        <v>39</v>
      </c>
      <c r="H102" s="27" t="s">
        <v>71</v>
      </c>
      <c r="I102" s="27" t="s">
        <v>49</v>
      </c>
      <c r="J102" s="27" t="s">
        <v>72</v>
      </c>
      <c r="K102" s="27" t="s">
        <v>73</v>
      </c>
      <c r="L102" s="31" t="s">
        <v>311</v>
      </c>
      <c r="M102" s="32">
        <v>0.4</v>
      </c>
      <c r="N102" s="27" t="s">
        <v>33</v>
      </c>
      <c r="O102" s="27" t="s">
        <v>111</v>
      </c>
      <c r="P102" s="27" t="s">
        <v>112</v>
      </c>
      <c r="Q102" s="27" t="s">
        <v>312</v>
      </c>
      <c r="R102" s="33">
        <v>11010</v>
      </c>
      <c r="S102" s="34">
        <v>42011</v>
      </c>
      <c r="T102" s="34">
        <v>42012</v>
      </c>
      <c r="U102" s="29">
        <v>-14.359819999999999</v>
      </c>
      <c r="V102" s="26">
        <v>1</v>
      </c>
      <c r="W102" s="29">
        <v>3.53</v>
      </c>
      <c r="X102" s="26">
        <v>87993</v>
      </c>
      <c r="Y102" s="35">
        <v>137.47999999999999</v>
      </c>
      <c r="Z102" s="1" t="s">
        <v>3014</v>
      </c>
      <c r="AA102" s="36">
        <v>9.9000000000000005E-2</v>
      </c>
      <c r="AB102" s="54">
        <v>2.1179999999999999</v>
      </c>
      <c r="AC102" s="54">
        <v>1.4119999999999999</v>
      </c>
      <c r="AD102" s="36">
        <v>13.020819999999999</v>
      </c>
    </row>
    <row r="103" spans="1:30" s="37" customFormat="1" ht="15.75" customHeight="1" x14ac:dyDescent="0.2">
      <c r="A103" s="26">
        <v>2868</v>
      </c>
      <c r="B103" s="27" t="s">
        <v>322</v>
      </c>
      <c r="C103" s="27" t="s">
        <v>38</v>
      </c>
      <c r="D103" s="28">
        <v>0.03</v>
      </c>
      <c r="E103" s="29">
        <v>896.99</v>
      </c>
      <c r="F103" s="29">
        <v>19.989999999999998</v>
      </c>
      <c r="G103" s="30" t="s">
        <v>39</v>
      </c>
      <c r="H103" s="27" t="s">
        <v>94</v>
      </c>
      <c r="I103" s="27" t="s">
        <v>49</v>
      </c>
      <c r="J103" s="27" t="s">
        <v>72</v>
      </c>
      <c r="K103" s="27" t="s">
        <v>73</v>
      </c>
      <c r="L103" s="31" t="s">
        <v>323</v>
      </c>
      <c r="M103" s="32">
        <v>0.38</v>
      </c>
      <c r="N103" s="27" t="s">
        <v>33</v>
      </c>
      <c r="O103" s="27" t="s">
        <v>60</v>
      </c>
      <c r="P103" s="27" t="s">
        <v>67</v>
      </c>
      <c r="Q103" s="27" t="s">
        <v>324</v>
      </c>
      <c r="R103" s="33">
        <v>98026</v>
      </c>
      <c r="S103" s="34">
        <v>42012</v>
      </c>
      <c r="T103" s="34">
        <v>42014</v>
      </c>
      <c r="U103" s="29">
        <v>3602.1311999999998</v>
      </c>
      <c r="V103" s="26">
        <v>6</v>
      </c>
      <c r="W103" s="29">
        <v>5220.4799999999996</v>
      </c>
      <c r="X103" s="26">
        <v>85826</v>
      </c>
      <c r="Y103" s="35">
        <v>896.96</v>
      </c>
      <c r="Z103" s="1" t="s">
        <v>3013</v>
      </c>
      <c r="AA103" s="36">
        <v>161.45820000000001</v>
      </c>
      <c r="AB103" s="54">
        <v>3236.6975999999995</v>
      </c>
      <c r="AC103" s="54">
        <v>330.63039999999995</v>
      </c>
      <c r="AD103" s="36">
        <v>1436.9005999999999</v>
      </c>
    </row>
    <row r="104" spans="1:30" s="37" customFormat="1" ht="15.75" customHeight="1" x14ac:dyDescent="0.2">
      <c r="A104" s="26">
        <v>2099</v>
      </c>
      <c r="B104" s="27" t="s">
        <v>333</v>
      </c>
      <c r="C104" s="27" t="s">
        <v>3094</v>
      </c>
      <c r="D104" s="28">
        <v>7.0000000000000007E-2</v>
      </c>
      <c r="E104" s="29">
        <v>14.56</v>
      </c>
      <c r="F104" s="29">
        <v>3.5</v>
      </c>
      <c r="G104" s="30" t="s">
        <v>39</v>
      </c>
      <c r="H104" s="27" t="s">
        <v>71</v>
      </c>
      <c r="I104" s="27" t="s">
        <v>49</v>
      </c>
      <c r="J104" s="27" t="s">
        <v>95</v>
      </c>
      <c r="K104" s="27" t="s">
        <v>73</v>
      </c>
      <c r="L104" s="31" t="s">
        <v>334</v>
      </c>
      <c r="M104" s="32">
        <v>0.57999999999999996</v>
      </c>
      <c r="N104" s="27" t="s">
        <v>33</v>
      </c>
      <c r="O104" s="27" t="s">
        <v>34</v>
      </c>
      <c r="P104" s="27" t="s">
        <v>271</v>
      </c>
      <c r="Q104" s="27" t="s">
        <v>335</v>
      </c>
      <c r="R104" s="33">
        <v>29577</v>
      </c>
      <c r="S104" s="34">
        <v>42012</v>
      </c>
      <c r="T104" s="34">
        <v>42013</v>
      </c>
      <c r="U104" s="29">
        <v>-45.527999999999999</v>
      </c>
      <c r="V104" s="26">
        <v>6</v>
      </c>
      <c r="W104" s="29">
        <v>84.59</v>
      </c>
      <c r="X104" s="26">
        <v>87888</v>
      </c>
      <c r="Y104" s="35">
        <v>4.0599999999999996</v>
      </c>
      <c r="Z104" s="1" t="s">
        <v>3011</v>
      </c>
      <c r="AA104" s="36">
        <v>6.1152000000000006</v>
      </c>
      <c r="AB104" s="54">
        <v>35.527800000000006</v>
      </c>
      <c r="AC104" s="54">
        <v>8.177033333333334</v>
      </c>
      <c r="AD104" s="36">
        <v>120.50280000000001</v>
      </c>
    </row>
    <row r="105" spans="1:30" s="37" customFormat="1" ht="15.75" customHeight="1" x14ac:dyDescent="0.2">
      <c r="A105" s="26">
        <v>2508</v>
      </c>
      <c r="B105" s="27" t="s">
        <v>329</v>
      </c>
      <c r="C105" s="27" t="s">
        <v>48</v>
      </c>
      <c r="D105" s="28">
        <v>0.02</v>
      </c>
      <c r="E105" s="29">
        <v>5.81</v>
      </c>
      <c r="F105" s="29">
        <v>8.49</v>
      </c>
      <c r="G105" s="30" t="s">
        <v>39</v>
      </c>
      <c r="H105" s="27" t="s">
        <v>71</v>
      </c>
      <c r="I105" s="27" t="s">
        <v>49</v>
      </c>
      <c r="J105" s="27" t="s">
        <v>72</v>
      </c>
      <c r="K105" s="27" t="s">
        <v>73</v>
      </c>
      <c r="L105" s="31" t="s">
        <v>330</v>
      </c>
      <c r="M105" s="32">
        <v>0.39</v>
      </c>
      <c r="N105" s="27" t="s">
        <v>33</v>
      </c>
      <c r="O105" s="27" t="s">
        <v>111</v>
      </c>
      <c r="P105" s="27" t="s">
        <v>331</v>
      </c>
      <c r="Q105" s="27" t="s">
        <v>332</v>
      </c>
      <c r="R105" s="33">
        <v>4073</v>
      </c>
      <c r="S105" s="34">
        <v>42012</v>
      </c>
      <c r="T105" s="34">
        <v>42016</v>
      </c>
      <c r="U105" s="29">
        <v>-137.494</v>
      </c>
      <c r="V105" s="26">
        <v>7</v>
      </c>
      <c r="W105" s="29">
        <v>42.44</v>
      </c>
      <c r="X105" s="26">
        <v>87031</v>
      </c>
      <c r="Y105" s="35">
        <v>22.689999999999998</v>
      </c>
      <c r="Z105" s="1" t="s">
        <v>3014</v>
      </c>
      <c r="AA105" s="36">
        <v>0.81340000000000001</v>
      </c>
      <c r="AB105" s="54">
        <v>25.888399999999997</v>
      </c>
      <c r="AC105" s="54">
        <v>2.3645142857142858</v>
      </c>
      <c r="AD105" s="36">
        <v>170.63059999999999</v>
      </c>
    </row>
    <row r="106" spans="1:30" s="37" customFormat="1" ht="15.75" customHeight="1" x14ac:dyDescent="0.2">
      <c r="A106" s="26">
        <v>2908</v>
      </c>
      <c r="B106" s="27" t="s">
        <v>325</v>
      </c>
      <c r="C106" s="27" t="s">
        <v>38</v>
      </c>
      <c r="D106" s="28">
        <v>0.03</v>
      </c>
      <c r="E106" s="29">
        <v>22.72</v>
      </c>
      <c r="F106" s="29">
        <v>8.99</v>
      </c>
      <c r="G106" s="30" t="s">
        <v>39</v>
      </c>
      <c r="H106" s="27" t="s">
        <v>71</v>
      </c>
      <c r="I106" s="27" t="s">
        <v>29</v>
      </c>
      <c r="J106" s="27" t="s">
        <v>126</v>
      </c>
      <c r="K106" s="27" t="s">
        <v>43</v>
      </c>
      <c r="L106" s="31" t="s">
        <v>328</v>
      </c>
      <c r="M106" s="32">
        <v>0.44</v>
      </c>
      <c r="N106" s="27" t="s">
        <v>33</v>
      </c>
      <c r="O106" s="27" t="s">
        <v>111</v>
      </c>
      <c r="P106" s="27" t="s">
        <v>317</v>
      </c>
      <c r="Q106" s="27" t="s">
        <v>327</v>
      </c>
      <c r="R106" s="33">
        <v>44125</v>
      </c>
      <c r="S106" s="34">
        <v>42012</v>
      </c>
      <c r="T106" s="34">
        <v>42012</v>
      </c>
      <c r="U106" s="29">
        <v>17.429400000000001</v>
      </c>
      <c r="V106" s="26">
        <v>1</v>
      </c>
      <c r="W106" s="29">
        <v>25.26</v>
      </c>
      <c r="X106" s="26">
        <v>88156</v>
      </c>
      <c r="Y106" s="35">
        <v>5.79</v>
      </c>
      <c r="Z106" s="1" t="s">
        <v>3014</v>
      </c>
      <c r="AA106" s="36">
        <v>0.68159999999999998</v>
      </c>
      <c r="AB106" s="54">
        <v>14.145600000000002</v>
      </c>
      <c r="AC106" s="54">
        <v>11.114400000000002</v>
      </c>
      <c r="AD106" s="36">
        <v>-1.8410000000000011</v>
      </c>
    </row>
    <row r="107" spans="1:30" s="37" customFormat="1" ht="15.75" customHeight="1" x14ac:dyDescent="0.2">
      <c r="A107" s="26">
        <v>2908</v>
      </c>
      <c r="B107" s="27" t="s">
        <v>325</v>
      </c>
      <c r="C107" s="27" t="s">
        <v>38</v>
      </c>
      <c r="D107" s="28">
        <v>7.0000000000000007E-2</v>
      </c>
      <c r="E107" s="29">
        <v>4.13</v>
      </c>
      <c r="F107" s="29">
        <v>0.99</v>
      </c>
      <c r="G107" s="30" t="s">
        <v>39</v>
      </c>
      <c r="H107" s="27" t="s">
        <v>71</v>
      </c>
      <c r="I107" s="27" t="s">
        <v>49</v>
      </c>
      <c r="J107" s="27" t="s">
        <v>152</v>
      </c>
      <c r="K107" s="27" t="s">
        <v>73</v>
      </c>
      <c r="L107" s="31" t="s">
        <v>326</v>
      </c>
      <c r="M107" s="32">
        <v>0.39</v>
      </c>
      <c r="N107" s="27" t="s">
        <v>33</v>
      </c>
      <c r="O107" s="27" t="s">
        <v>111</v>
      </c>
      <c r="P107" s="27" t="s">
        <v>317</v>
      </c>
      <c r="Q107" s="27" t="s">
        <v>327</v>
      </c>
      <c r="R107" s="33">
        <v>44125</v>
      </c>
      <c r="S107" s="34">
        <v>42012</v>
      </c>
      <c r="T107" s="34">
        <v>42012</v>
      </c>
      <c r="U107" s="29">
        <v>10.959199999999999</v>
      </c>
      <c r="V107" s="26">
        <v>4</v>
      </c>
      <c r="W107" s="29">
        <v>16.07</v>
      </c>
      <c r="X107" s="26">
        <v>88156</v>
      </c>
      <c r="Y107" s="35">
        <v>14.49</v>
      </c>
      <c r="Z107" s="1" t="s">
        <v>3014</v>
      </c>
      <c r="AA107" s="36">
        <v>1.1564000000000001</v>
      </c>
      <c r="AB107" s="54">
        <v>9.8026999999999997</v>
      </c>
      <c r="AC107" s="54">
        <v>1.5668250000000001</v>
      </c>
      <c r="AD107" s="36">
        <v>2.9644000000000013</v>
      </c>
    </row>
    <row r="108" spans="1:30" s="37" customFormat="1" ht="15.75" customHeight="1" x14ac:dyDescent="0.2">
      <c r="A108" s="26">
        <v>806</v>
      </c>
      <c r="B108" s="27" t="s">
        <v>336</v>
      </c>
      <c r="C108" s="27" t="s">
        <v>26</v>
      </c>
      <c r="D108" s="28">
        <v>0.06</v>
      </c>
      <c r="E108" s="29">
        <v>179.99</v>
      </c>
      <c r="F108" s="29">
        <v>13.99</v>
      </c>
      <c r="G108" s="30" t="s">
        <v>87</v>
      </c>
      <c r="H108" s="27" t="s">
        <v>3095</v>
      </c>
      <c r="I108" s="27" t="s">
        <v>41</v>
      </c>
      <c r="J108" s="27" t="s">
        <v>135</v>
      </c>
      <c r="K108" s="27" t="s">
        <v>144</v>
      </c>
      <c r="L108" s="31" t="s">
        <v>337</v>
      </c>
      <c r="M108" s="32">
        <v>0.56999999999999995</v>
      </c>
      <c r="N108" s="27" t="s">
        <v>33</v>
      </c>
      <c r="O108" s="27" t="s">
        <v>34</v>
      </c>
      <c r="P108" s="27" t="s">
        <v>123</v>
      </c>
      <c r="Q108" s="27" t="s">
        <v>128</v>
      </c>
      <c r="R108" s="33">
        <v>33132</v>
      </c>
      <c r="S108" s="34">
        <v>42013</v>
      </c>
      <c r="T108" s="34">
        <v>42015</v>
      </c>
      <c r="U108" s="29">
        <v>1220.03784</v>
      </c>
      <c r="V108" s="26">
        <v>54</v>
      </c>
      <c r="W108" s="29">
        <v>8332.91</v>
      </c>
      <c r="X108" s="26">
        <v>40547</v>
      </c>
      <c r="Y108" s="35">
        <v>179.93</v>
      </c>
      <c r="Z108" s="1" t="s">
        <v>3011</v>
      </c>
      <c r="AA108" s="36">
        <v>583.16759999999999</v>
      </c>
      <c r="AB108" s="54">
        <v>3583.1513000000004</v>
      </c>
      <c r="AC108" s="54">
        <v>87.95849444444444</v>
      </c>
      <c r="AD108" s="36">
        <v>6515.7145600000003</v>
      </c>
    </row>
    <row r="109" spans="1:30" s="37" customFormat="1" ht="15.75" customHeight="1" x14ac:dyDescent="0.2">
      <c r="A109" s="26">
        <v>1528</v>
      </c>
      <c r="B109" s="27" t="s">
        <v>341</v>
      </c>
      <c r="C109" s="27" t="s">
        <v>26</v>
      </c>
      <c r="D109" s="28">
        <v>0.01</v>
      </c>
      <c r="E109" s="29">
        <v>525.98</v>
      </c>
      <c r="F109" s="29">
        <v>19.989999999999998</v>
      </c>
      <c r="G109" s="30" t="s">
        <v>39</v>
      </c>
      <c r="H109" s="27" t="s">
        <v>3095</v>
      </c>
      <c r="I109" s="27" t="s">
        <v>49</v>
      </c>
      <c r="J109" s="27" t="s">
        <v>72</v>
      </c>
      <c r="K109" s="27" t="s">
        <v>73</v>
      </c>
      <c r="L109" s="31" t="s">
        <v>342</v>
      </c>
      <c r="M109" s="32">
        <v>0.37</v>
      </c>
      <c r="N109" s="27" t="s">
        <v>33</v>
      </c>
      <c r="O109" s="27" t="s">
        <v>34</v>
      </c>
      <c r="P109" s="27" t="s">
        <v>97</v>
      </c>
      <c r="Q109" s="27" t="s">
        <v>343</v>
      </c>
      <c r="R109" s="33">
        <v>27288</v>
      </c>
      <c r="S109" s="34">
        <v>42013</v>
      </c>
      <c r="T109" s="34">
        <v>42015</v>
      </c>
      <c r="U109" s="29">
        <v>-161.92400000000001</v>
      </c>
      <c r="V109" s="26">
        <v>9</v>
      </c>
      <c r="W109" s="29">
        <v>4920.8100000000004</v>
      </c>
      <c r="X109" s="26">
        <v>86813</v>
      </c>
      <c r="Y109" s="35">
        <v>30.95</v>
      </c>
      <c r="Z109" s="1" t="s">
        <v>3011</v>
      </c>
      <c r="AA109" s="36">
        <v>47.338200000000001</v>
      </c>
      <c r="AB109" s="54">
        <v>3100.1103000000003</v>
      </c>
      <c r="AC109" s="54">
        <v>202.29996666666665</v>
      </c>
      <c r="AD109" s="36">
        <v>5015.4058000000005</v>
      </c>
    </row>
    <row r="110" spans="1:30" s="37" customFormat="1" ht="15.75" customHeight="1" x14ac:dyDescent="0.2">
      <c r="A110" s="26">
        <v>1527</v>
      </c>
      <c r="B110" s="27" t="s">
        <v>338</v>
      </c>
      <c r="C110" s="27" t="s">
        <v>26</v>
      </c>
      <c r="D110" s="28">
        <v>0.03</v>
      </c>
      <c r="E110" s="29">
        <v>30.98</v>
      </c>
      <c r="F110" s="29">
        <v>8.99</v>
      </c>
      <c r="G110" s="30" t="s">
        <v>87</v>
      </c>
      <c r="H110" s="27" t="s">
        <v>3095</v>
      </c>
      <c r="I110" s="27" t="s">
        <v>49</v>
      </c>
      <c r="J110" s="27" t="s">
        <v>50</v>
      </c>
      <c r="K110" s="27" t="s">
        <v>43</v>
      </c>
      <c r="L110" s="31" t="s">
        <v>339</v>
      </c>
      <c r="M110" s="32">
        <v>0.57999999999999996</v>
      </c>
      <c r="N110" s="27" t="s">
        <v>33</v>
      </c>
      <c r="O110" s="27" t="s">
        <v>34</v>
      </c>
      <c r="P110" s="27" t="s">
        <v>164</v>
      </c>
      <c r="Q110" s="27" t="s">
        <v>340</v>
      </c>
      <c r="R110" s="33">
        <v>35601</v>
      </c>
      <c r="S110" s="34">
        <v>42013</v>
      </c>
      <c r="T110" s="34">
        <v>42015</v>
      </c>
      <c r="U110" s="29">
        <v>0.51</v>
      </c>
      <c r="V110" s="26">
        <v>5</v>
      </c>
      <c r="W110" s="29">
        <v>162.38999999999999</v>
      </c>
      <c r="X110" s="26">
        <v>86813</v>
      </c>
      <c r="Y110" s="35">
        <v>525.97</v>
      </c>
      <c r="Z110" s="1" t="s">
        <v>3011</v>
      </c>
      <c r="AA110" s="36">
        <v>4.6470000000000002</v>
      </c>
      <c r="AB110" s="54">
        <v>68.203800000000001</v>
      </c>
      <c r="AC110" s="54">
        <v>18.837239999999994</v>
      </c>
      <c r="AD110" s="36">
        <v>148.24299999999999</v>
      </c>
    </row>
    <row r="111" spans="1:30" s="37" customFormat="1" ht="15.75" customHeight="1" x14ac:dyDescent="0.2">
      <c r="A111" s="26">
        <v>833</v>
      </c>
      <c r="B111" s="27" t="s">
        <v>349</v>
      </c>
      <c r="C111" s="27" t="s">
        <v>38</v>
      </c>
      <c r="D111" s="28">
        <v>0</v>
      </c>
      <c r="E111" s="29">
        <v>11.66</v>
      </c>
      <c r="F111" s="29">
        <v>8.99</v>
      </c>
      <c r="G111" s="30" t="s">
        <v>87</v>
      </c>
      <c r="H111" s="27" t="s">
        <v>94</v>
      </c>
      <c r="I111" s="27" t="s">
        <v>49</v>
      </c>
      <c r="J111" s="27" t="s">
        <v>50</v>
      </c>
      <c r="K111" s="27" t="s">
        <v>43</v>
      </c>
      <c r="L111" s="31" t="s">
        <v>350</v>
      </c>
      <c r="M111" s="32">
        <v>0.59</v>
      </c>
      <c r="N111" s="27" t="s">
        <v>33</v>
      </c>
      <c r="O111" s="27" t="s">
        <v>60</v>
      </c>
      <c r="P111" s="27" t="s">
        <v>90</v>
      </c>
      <c r="Q111" s="27" t="s">
        <v>351</v>
      </c>
      <c r="R111" s="33">
        <v>95020</v>
      </c>
      <c r="S111" s="34">
        <v>42013</v>
      </c>
      <c r="T111" s="34">
        <v>42015</v>
      </c>
      <c r="U111" s="29">
        <v>-203.67</v>
      </c>
      <c r="V111" s="26">
        <v>11</v>
      </c>
      <c r="W111" s="29">
        <v>138.51</v>
      </c>
      <c r="X111" s="26">
        <v>89770</v>
      </c>
      <c r="Y111" s="35">
        <v>5.57</v>
      </c>
      <c r="Z111" s="1" t="s">
        <v>3013</v>
      </c>
      <c r="AA111" s="36">
        <v>0</v>
      </c>
      <c r="AB111" s="54">
        <v>56.789099999999998</v>
      </c>
      <c r="AC111" s="54">
        <v>7.4291727272727268</v>
      </c>
      <c r="AD111" s="36">
        <v>333.18999999999994</v>
      </c>
    </row>
    <row r="112" spans="1:30" s="37" customFormat="1" ht="15.75" customHeight="1" x14ac:dyDescent="0.2">
      <c r="A112" s="26">
        <v>358</v>
      </c>
      <c r="B112" s="27" t="s">
        <v>352</v>
      </c>
      <c r="C112" s="27" t="s">
        <v>48</v>
      </c>
      <c r="D112" s="28">
        <v>0.04</v>
      </c>
      <c r="E112" s="29">
        <v>125.99</v>
      </c>
      <c r="F112" s="29">
        <v>8.99</v>
      </c>
      <c r="G112" s="30" t="s">
        <v>39</v>
      </c>
      <c r="H112" s="27" t="s">
        <v>94</v>
      </c>
      <c r="I112" s="27" t="s">
        <v>41</v>
      </c>
      <c r="J112" s="27" t="s">
        <v>135</v>
      </c>
      <c r="K112" s="27" t="s">
        <v>73</v>
      </c>
      <c r="L112" s="31" t="s">
        <v>353</v>
      </c>
      <c r="M112" s="32">
        <v>0.59</v>
      </c>
      <c r="N112" s="27" t="s">
        <v>33</v>
      </c>
      <c r="O112" s="27" t="s">
        <v>111</v>
      </c>
      <c r="P112" s="27" t="s">
        <v>320</v>
      </c>
      <c r="Q112" s="27" t="s">
        <v>354</v>
      </c>
      <c r="R112" s="33">
        <v>19406</v>
      </c>
      <c r="S112" s="34">
        <v>42013</v>
      </c>
      <c r="T112" s="34">
        <v>42020</v>
      </c>
      <c r="U112" s="29">
        <v>-627.82191999999998</v>
      </c>
      <c r="V112" s="26">
        <v>1</v>
      </c>
      <c r="W112" s="29">
        <v>107.95</v>
      </c>
      <c r="X112" s="26">
        <v>91130</v>
      </c>
      <c r="Y112" s="35">
        <v>3.95</v>
      </c>
      <c r="Z112" s="1" t="s">
        <v>3014</v>
      </c>
      <c r="AA112" s="36">
        <v>5.0396000000000001</v>
      </c>
      <c r="AB112" s="54">
        <v>44.259500000000003</v>
      </c>
      <c r="AC112" s="54">
        <v>63.6905</v>
      </c>
      <c r="AD112" s="36">
        <v>721.74232000000006</v>
      </c>
    </row>
    <row r="113" spans="1:30" s="37" customFormat="1" ht="15.75" customHeight="1" x14ac:dyDescent="0.2">
      <c r="A113" s="26">
        <v>3331</v>
      </c>
      <c r="B113" s="27" t="s">
        <v>228</v>
      </c>
      <c r="C113" s="27" t="s">
        <v>3094</v>
      </c>
      <c r="D113" s="28">
        <v>0.02</v>
      </c>
      <c r="E113" s="29">
        <v>4</v>
      </c>
      <c r="F113" s="29">
        <v>1.3</v>
      </c>
      <c r="G113" s="30" t="s">
        <v>39</v>
      </c>
      <c r="H113" s="27" t="s">
        <v>94</v>
      </c>
      <c r="I113" s="27" t="s">
        <v>49</v>
      </c>
      <c r="J113" s="27" t="s">
        <v>88</v>
      </c>
      <c r="K113" s="27" t="s">
        <v>51</v>
      </c>
      <c r="L113" s="31" t="s">
        <v>371</v>
      </c>
      <c r="M113" s="32">
        <v>0.37</v>
      </c>
      <c r="N113" s="27" t="s">
        <v>33</v>
      </c>
      <c r="O113" s="27" t="s">
        <v>34</v>
      </c>
      <c r="P113" s="27" t="s">
        <v>123</v>
      </c>
      <c r="Q113" s="27" t="s">
        <v>230</v>
      </c>
      <c r="R113" s="33">
        <v>32174</v>
      </c>
      <c r="S113" s="34">
        <v>42013</v>
      </c>
      <c r="T113" s="34">
        <v>42013</v>
      </c>
      <c r="U113" s="29">
        <v>-23.295999999999999</v>
      </c>
      <c r="V113" s="26">
        <v>12</v>
      </c>
      <c r="W113" s="29">
        <v>50.71</v>
      </c>
      <c r="X113" s="26">
        <v>86284</v>
      </c>
      <c r="Y113" s="35">
        <v>11.66</v>
      </c>
      <c r="Z113" s="1" t="s">
        <v>3011</v>
      </c>
      <c r="AA113" s="36">
        <v>0.96</v>
      </c>
      <c r="AB113" s="54">
        <v>31.947300000000002</v>
      </c>
      <c r="AC113" s="54">
        <v>1.5635583333333332</v>
      </c>
      <c r="AD113" s="36">
        <v>71.745999999999995</v>
      </c>
    </row>
    <row r="114" spans="1:30" s="37" customFormat="1" ht="15.75" customHeight="1" x14ac:dyDescent="0.2">
      <c r="A114" s="26">
        <v>1745</v>
      </c>
      <c r="B114" s="27" t="s">
        <v>359</v>
      </c>
      <c r="C114" s="27" t="s">
        <v>3094</v>
      </c>
      <c r="D114" s="28">
        <v>0.02</v>
      </c>
      <c r="E114" s="29">
        <v>4.13</v>
      </c>
      <c r="F114" s="29">
        <v>6.89</v>
      </c>
      <c r="G114" s="30" t="s">
        <v>39</v>
      </c>
      <c r="H114" s="27" t="s">
        <v>71</v>
      </c>
      <c r="I114" s="27" t="s">
        <v>49</v>
      </c>
      <c r="J114" s="27" t="s">
        <v>152</v>
      </c>
      <c r="K114" s="27" t="s">
        <v>73</v>
      </c>
      <c r="L114" s="31" t="s">
        <v>360</v>
      </c>
      <c r="M114" s="32">
        <v>0.39</v>
      </c>
      <c r="N114" s="27" t="s">
        <v>33</v>
      </c>
      <c r="O114" s="27" t="s">
        <v>34</v>
      </c>
      <c r="P114" s="27" t="s">
        <v>75</v>
      </c>
      <c r="Q114" s="27" t="s">
        <v>361</v>
      </c>
      <c r="R114" s="33">
        <v>30305</v>
      </c>
      <c r="S114" s="34">
        <v>42013</v>
      </c>
      <c r="T114" s="34">
        <v>42014</v>
      </c>
      <c r="U114" s="29">
        <v>-51.737000000000002</v>
      </c>
      <c r="V114" s="26">
        <v>9</v>
      </c>
      <c r="W114" s="29">
        <v>45.87</v>
      </c>
      <c r="X114" s="26">
        <v>18561</v>
      </c>
      <c r="Y114" s="35">
        <v>125.94999999999999</v>
      </c>
      <c r="Z114" s="1" t="s">
        <v>3011</v>
      </c>
      <c r="AA114" s="36">
        <v>0.74339999999999995</v>
      </c>
      <c r="AB114" s="54">
        <v>27.980699999999999</v>
      </c>
      <c r="AC114" s="54">
        <v>1.9877</v>
      </c>
      <c r="AD114" s="36">
        <v>89.973600000000005</v>
      </c>
    </row>
    <row r="115" spans="1:30" s="37" customFormat="1" ht="15.75" customHeight="1" x14ac:dyDescent="0.2">
      <c r="A115" s="26">
        <v>3017</v>
      </c>
      <c r="B115" s="27" t="s">
        <v>344</v>
      </c>
      <c r="C115" s="27" t="s">
        <v>26</v>
      </c>
      <c r="D115" s="28">
        <v>0.03</v>
      </c>
      <c r="E115" s="29">
        <v>3.98</v>
      </c>
      <c r="F115" s="29">
        <v>0.7</v>
      </c>
      <c r="G115" s="30" t="s">
        <v>39</v>
      </c>
      <c r="H115" s="27" t="s">
        <v>94</v>
      </c>
      <c r="I115" s="27" t="s">
        <v>49</v>
      </c>
      <c r="J115" s="27" t="s">
        <v>50</v>
      </c>
      <c r="K115" s="27" t="s">
        <v>51</v>
      </c>
      <c r="L115" s="31" t="s">
        <v>348</v>
      </c>
      <c r="M115" s="32">
        <v>0.52</v>
      </c>
      <c r="N115" s="27" t="s">
        <v>33</v>
      </c>
      <c r="O115" s="27" t="s">
        <v>60</v>
      </c>
      <c r="P115" s="27" t="s">
        <v>90</v>
      </c>
      <c r="Q115" s="27" t="s">
        <v>347</v>
      </c>
      <c r="R115" s="33">
        <v>92024</v>
      </c>
      <c r="S115" s="34">
        <v>42013</v>
      </c>
      <c r="T115" s="34">
        <v>42014</v>
      </c>
      <c r="U115" s="29">
        <v>31.201799999999999</v>
      </c>
      <c r="V115" s="26">
        <v>11</v>
      </c>
      <c r="W115" s="29">
        <v>45.22</v>
      </c>
      <c r="X115" s="26">
        <v>89071</v>
      </c>
      <c r="Y115" s="35">
        <v>2.5</v>
      </c>
      <c r="Z115" s="1" t="s">
        <v>3013</v>
      </c>
      <c r="AA115" s="36">
        <v>1.3133999999999999</v>
      </c>
      <c r="AB115" s="54">
        <v>21.705599999999997</v>
      </c>
      <c r="AC115" s="54">
        <v>2.1376727272727272</v>
      </c>
      <c r="AD115" s="36">
        <v>12.004800000000003</v>
      </c>
    </row>
    <row r="116" spans="1:30" s="37" customFormat="1" ht="15.75" customHeight="1" x14ac:dyDescent="0.2">
      <c r="A116" s="26">
        <v>2164</v>
      </c>
      <c r="B116" s="27" t="s">
        <v>364</v>
      </c>
      <c r="C116" s="27" t="s">
        <v>3094</v>
      </c>
      <c r="D116" s="28">
        <v>0.05</v>
      </c>
      <c r="E116" s="29">
        <v>3.28</v>
      </c>
      <c r="F116" s="29">
        <v>3.97</v>
      </c>
      <c r="G116" s="30" t="s">
        <v>39</v>
      </c>
      <c r="H116" s="27" t="s">
        <v>3095</v>
      </c>
      <c r="I116" s="27" t="s">
        <v>49</v>
      </c>
      <c r="J116" s="27" t="s">
        <v>50</v>
      </c>
      <c r="K116" s="27" t="s">
        <v>51</v>
      </c>
      <c r="L116" s="31" t="s">
        <v>367</v>
      </c>
      <c r="M116" s="32">
        <v>0.56000000000000005</v>
      </c>
      <c r="N116" s="27" t="s">
        <v>33</v>
      </c>
      <c r="O116" s="27" t="s">
        <v>60</v>
      </c>
      <c r="P116" s="27" t="s">
        <v>90</v>
      </c>
      <c r="Q116" s="27" t="s">
        <v>366</v>
      </c>
      <c r="R116" s="33">
        <v>91104</v>
      </c>
      <c r="S116" s="34">
        <v>42013</v>
      </c>
      <c r="T116" s="34">
        <v>42013</v>
      </c>
      <c r="U116" s="29">
        <v>-144.9188</v>
      </c>
      <c r="V116" s="26">
        <v>11</v>
      </c>
      <c r="W116" s="29">
        <v>36.299999999999997</v>
      </c>
      <c r="X116" s="26">
        <v>88794</v>
      </c>
      <c r="Y116" s="35">
        <v>4.1100000000000003</v>
      </c>
      <c r="Z116" s="1" t="s">
        <v>3013</v>
      </c>
      <c r="AA116" s="36">
        <v>1.804</v>
      </c>
      <c r="AB116" s="54">
        <v>15.971999999999996</v>
      </c>
      <c r="AC116" s="54">
        <v>1.8480000000000001</v>
      </c>
      <c r="AD116" s="36">
        <v>175.44479999999999</v>
      </c>
    </row>
    <row r="117" spans="1:30" s="37" customFormat="1" ht="15.75" customHeight="1" x14ac:dyDescent="0.2">
      <c r="A117" s="26">
        <v>2555</v>
      </c>
      <c r="B117" s="27" t="s">
        <v>355</v>
      </c>
      <c r="C117" s="27" t="s">
        <v>48</v>
      </c>
      <c r="D117" s="28">
        <v>0.1</v>
      </c>
      <c r="E117" s="29">
        <v>2.6</v>
      </c>
      <c r="F117" s="29">
        <v>2.4</v>
      </c>
      <c r="G117" s="30" t="s">
        <v>39</v>
      </c>
      <c r="H117" s="27" t="s">
        <v>71</v>
      </c>
      <c r="I117" s="27" t="s">
        <v>49</v>
      </c>
      <c r="J117" s="27" t="s">
        <v>50</v>
      </c>
      <c r="K117" s="27" t="s">
        <v>51</v>
      </c>
      <c r="L117" s="31" t="s">
        <v>356</v>
      </c>
      <c r="M117" s="32">
        <v>0.57999999999999996</v>
      </c>
      <c r="N117" s="27" t="s">
        <v>33</v>
      </c>
      <c r="O117" s="27" t="s">
        <v>53</v>
      </c>
      <c r="P117" s="27" t="s">
        <v>357</v>
      </c>
      <c r="Q117" s="27" t="s">
        <v>358</v>
      </c>
      <c r="R117" s="33">
        <v>53711</v>
      </c>
      <c r="S117" s="34">
        <v>42013</v>
      </c>
      <c r="T117" s="34">
        <v>42018</v>
      </c>
      <c r="U117" s="29">
        <v>-88.04</v>
      </c>
      <c r="V117" s="26">
        <v>12</v>
      </c>
      <c r="W117" s="29">
        <v>30.1</v>
      </c>
      <c r="X117" s="26">
        <v>86527</v>
      </c>
      <c r="Y117" s="35">
        <v>4.1100000000000003</v>
      </c>
      <c r="Z117" s="1" t="s">
        <v>3012</v>
      </c>
      <c r="AA117" s="36">
        <v>3.12</v>
      </c>
      <c r="AB117" s="54">
        <v>12.642000000000001</v>
      </c>
      <c r="AC117" s="54">
        <v>1.4548333333333332</v>
      </c>
      <c r="AD117" s="36">
        <v>112.62</v>
      </c>
    </row>
    <row r="118" spans="1:30" s="37" customFormat="1" ht="15.75" customHeight="1" x14ac:dyDescent="0.2">
      <c r="A118" s="26">
        <v>2164</v>
      </c>
      <c r="B118" s="27" t="s">
        <v>364</v>
      </c>
      <c r="C118" s="27" t="s">
        <v>3094</v>
      </c>
      <c r="D118" s="28">
        <v>0.01</v>
      </c>
      <c r="E118" s="29">
        <v>5.38</v>
      </c>
      <c r="F118" s="29">
        <v>7.57</v>
      </c>
      <c r="G118" s="30" t="s">
        <v>39</v>
      </c>
      <c r="H118" s="27" t="s">
        <v>3095</v>
      </c>
      <c r="I118" s="27" t="s">
        <v>49</v>
      </c>
      <c r="J118" s="27" t="s">
        <v>72</v>
      </c>
      <c r="K118" s="27" t="s">
        <v>73</v>
      </c>
      <c r="L118" s="31" t="s">
        <v>365</v>
      </c>
      <c r="M118" s="32">
        <v>0.36</v>
      </c>
      <c r="N118" s="27" t="s">
        <v>33</v>
      </c>
      <c r="O118" s="27" t="s">
        <v>60</v>
      </c>
      <c r="P118" s="27" t="s">
        <v>90</v>
      </c>
      <c r="Q118" s="27" t="s">
        <v>366</v>
      </c>
      <c r="R118" s="33">
        <v>91104</v>
      </c>
      <c r="S118" s="34">
        <v>42013</v>
      </c>
      <c r="T118" s="34">
        <v>42014</v>
      </c>
      <c r="U118" s="29">
        <v>-66.779579999999996</v>
      </c>
      <c r="V118" s="26">
        <v>3</v>
      </c>
      <c r="W118" s="29">
        <v>18.68</v>
      </c>
      <c r="X118" s="26">
        <v>88794</v>
      </c>
      <c r="Y118" s="35">
        <v>5.37</v>
      </c>
      <c r="Z118" s="1" t="s">
        <v>3013</v>
      </c>
      <c r="AA118" s="36">
        <v>0.16139999999999999</v>
      </c>
      <c r="AB118" s="54">
        <v>11.9552</v>
      </c>
      <c r="AC118" s="54">
        <v>2.2416</v>
      </c>
      <c r="AD118" s="36">
        <v>77.728179999999995</v>
      </c>
    </row>
    <row r="119" spans="1:30" s="37" customFormat="1" ht="15.75" customHeight="1" x14ac:dyDescent="0.2">
      <c r="A119" s="26">
        <v>2165</v>
      </c>
      <c r="B119" s="27" t="s">
        <v>368</v>
      </c>
      <c r="C119" s="27" t="s">
        <v>3094</v>
      </c>
      <c r="D119" s="28">
        <v>0.09</v>
      </c>
      <c r="E119" s="29">
        <v>2.78</v>
      </c>
      <c r="F119" s="29">
        <v>0.97</v>
      </c>
      <c r="G119" s="30" t="s">
        <v>39</v>
      </c>
      <c r="H119" s="27" t="s">
        <v>3095</v>
      </c>
      <c r="I119" s="27" t="s">
        <v>49</v>
      </c>
      <c r="J119" s="27" t="s">
        <v>50</v>
      </c>
      <c r="K119" s="27" t="s">
        <v>51</v>
      </c>
      <c r="L119" s="31" t="s">
        <v>369</v>
      </c>
      <c r="M119" s="32">
        <v>0.59</v>
      </c>
      <c r="N119" s="27" t="s">
        <v>33</v>
      </c>
      <c r="O119" s="27" t="s">
        <v>111</v>
      </c>
      <c r="P119" s="27" t="s">
        <v>331</v>
      </c>
      <c r="Q119" s="27" t="s">
        <v>370</v>
      </c>
      <c r="R119" s="33">
        <v>4330</v>
      </c>
      <c r="S119" s="34">
        <v>42013</v>
      </c>
      <c r="T119" s="34">
        <v>42015</v>
      </c>
      <c r="U119" s="29">
        <v>-5.0716000000000001</v>
      </c>
      <c r="V119" s="26">
        <v>6</v>
      </c>
      <c r="W119" s="29">
        <v>16.03</v>
      </c>
      <c r="X119" s="26">
        <v>88794</v>
      </c>
      <c r="Y119" s="35">
        <v>3.23</v>
      </c>
      <c r="Z119" s="1" t="s">
        <v>3014</v>
      </c>
      <c r="AA119" s="36">
        <v>1.5011999999999999</v>
      </c>
      <c r="AB119" s="54">
        <v>6.5723000000000011</v>
      </c>
      <c r="AC119" s="54">
        <v>1.5762833333333333</v>
      </c>
      <c r="AD119" s="36">
        <v>18.630400000000002</v>
      </c>
    </row>
    <row r="120" spans="1:30" s="37" customFormat="1" ht="15.75" customHeight="1" x14ac:dyDescent="0.2">
      <c r="A120" s="26">
        <v>3017</v>
      </c>
      <c r="B120" s="27" t="s">
        <v>344</v>
      </c>
      <c r="C120" s="27" t="s">
        <v>26</v>
      </c>
      <c r="D120" s="28">
        <v>0.01</v>
      </c>
      <c r="E120" s="29">
        <v>5.58</v>
      </c>
      <c r="F120" s="29">
        <v>5.3</v>
      </c>
      <c r="G120" s="30" t="s">
        <v>39</v>
      </c>
      <c r="H120" s="27" t="s">
        <v>94</v>
      </c>
      <c r="I120" s="27" t="s">
        <v>49</v>
      </c>
      <c r="J120" s="27" t="s">
        <v>345</v>
      </c>
      <c r="K120" s="27" t="s">
        <v>73</v>
      </c>
      <c r="L120" s="31" t="s">
        <v>346</v>
      </c>
      <c r="M120" s="32">
        <v>0.35</v>
      </c>
      <c r="N120" s="27" t="s">
        <v>33</v>
      </c>
      <c r="O120" s="27" t="s">
        <v>60</v>
      </c>
      <c r="P120" s="27" t="s">
        <v>90</v>
      </c>
      <c r="Q120" s="27" t="s">
        <v>347</v>
      </c>
      <c r="R120" s="33">
        <v>92024</v>
      </c>
      <c r="S120" s="34">
        <v>42013</v>
      </c>
      <c r="T120" s="34">
        <v>42014</v>
      </c>
      <c r="U120" s="29">
        <v>-7.25</v>
      </c>
      <c r="V120" s="26">
        <v>1</v>
      </c>
      <c r="W120" s="29">
        <v>11.16</v>
      </c>
      <c r="X120" s="26">
        <v>89071</v>
      </c>
      <c r="Y120" s="35">
        <v>2.69</v>
      </c>
      <c r="Z120" s="1" t="s">
        <v>3013</v>
      </c>
      <c r="AA120" s="36">
        <v>5.5800000000000002E-2</v>
      </c>
      <c r="AB120" s="54">
        <v>7.2540000000000004</v>
      </c>
      <c r="AC120" s="54">
        <v>3.9059999999999997</v>
      </c>
      <c r="AD120" s="36">
        <v>13.0542</v>
      </c>
    </row>
    <row r="121" spans="1:30" s="37" customFormat="1" ht="15.75" customHeight="1" x14ac:dyDescent="0.2">
      <c r="A121" s="26">
        <v>1749</v>
      </c>
      <c r="B121" s="27" t="s">
        <v>362</v>
      </c>
      <c r="C121" s="27" t="s">
        <v>3094</v>
      </c>
      <c r="D121" s="28">
        <v>0.02</v>
      </c>
      <c r="E121" s="29">
        <v>4.13</v>
      </c>
      <c r="F121" s="29">
        <v>6.89</v>
      </c>
      <c r="G121" s="30" t="s">
        <v>39</v>
      </c>
      <c r="H121" s="27" t="s">
        <v>71</v>
      </c>
      <c r="I121" s="27" t="s">
        <v>49</v>
      </c>
      <c r="J121" s="27" t="s">
        <v>152</v>
      </c>
      <c r="K121" s="27" t="s">
        <v>73</v>
      </c>
      <c r="L121" s="31" t="s">
        <v>360</v>
      </c>
      <c r="M121" s="32">
        <v>0.39</v>
      </c>
      <c r="N121" s="27" t="s">
        <v>33</v>
      </c>
      <c r="O121" s="27" t="s">
        <v>53</v>
      </c>
      <c r="P121" s="27" t="s">
        <v>207</v>
      </c>
      <c r="Q121" s="27" t="s">
        <v>363</v>
      </c>
      <c r="R121" s="33">
        <v>73505</v>
      </c>
      <c r="S121" s="34">
        <v>42013</v>
      </c>
      <c r="T121" s="34">
        <v>42014</v>
      </c>
      <c r="U121" s="29">
        <v>-48.235999999999997</v>
      </c>
      <c r="V121" s="26">
        <v>2</v>
      </c>
      <c r="W121" s="29">
        <v>10.19</v>
      </c>
      <c r="X121" s="26">
        <v>87243</v>
      </c>
      <c r="Y121" s="35">
        <v>3.98</v>
      </c>
      <c r="Z121" s="1" t="s">
        <v>3012</v>
      </c>
      <c r="AA121" s="36">
        <v>0.16519999999999999</v>
      </c>
      <c r="AB121" s="54">
        <v>6.2158999999999995</v>
      </c>
      <c r="AC121" s="54">
        <v>1.98705</v>
      </c>
      <c r="AD121" s="36">
        <v>51.370799999999996</v>
      </c>
    </row>
    <row r="122" spans="1:30" s="37" customFormat="1" ht="15.75" customHeight="1" x14ac:dyDescent="0.2">
      <c r="A122" s="26">
        <v>2418</v>
      </c>
      <c r="B122" s="27" t="s">
        <v>240</v>
      </c>
      <c r="C122" s="27" t="s">
        <v>38</v>
      </c>
      <c r="D122" s="28">
        <v>0.1</v>
      </c>
      <c r="E122" s="29">
        <v>599.99</v>
      </c>
      <c r="F122" s="29">
        <v>24.49</v>
      </c>
      <c r="G122" s="30" t="s">
        <v>39</v>
      </c>
      <c r="H122" s="27" t="s">
        <v>40</v>
      </c>
      <c r="I122" s="27" t="s">
        <v>41</v>
      </c>
      <c r="J122" s="27" t="s">
        <v>64</v>
      </c>
      <c r="K122" s="27" t="s">
        <v>65</v>
      </c>
      <c r="L122" s="31" t="s">
        <v>381</v>
      </c>
      <c r="M122" s="32">
        <v>0.5</v>
      </c>
      <c r="N122" s="27" t="s">
        <v>33</v>
      </c>
      <c r="O122" s="27" t="s">
        <v>34</v>
      </c>
      <c r="P122" s="27" t="s">
        <v>242</v>
      </c>
      <c r="Q122" s="27" t="s">
        <v>243</v>
      </c>
      <c r="R122" s="33">
        <v>23805</v>
      </c>
      <c r="S122" s="34">
        <v>42014</v>
      </c>
      <c r="T122" s="34">
        <v>42015</v>
      </c>
      <c r="U122" s="29">
        <v>-343.12599999999998</v>
      </c>
      <c r="V122" s="26">
        <v>11</v>
      </c>
      <c r="W122" s="29">
        <v>6355.69</v>
      </c>
      <c r="X122" s="26">
        <v>86753</v>
      </c>
      <c r="Y122" s="35">
        <v>8.33</v>
      </c>
      <c r="Z122" s="1" t="s">
        <v>3011</v>
      </c>
      <c r="AA122" s="36">
        <v>659.98900000000003</v>
      </c>
      <c r="AB122" s="54">
        <v>3177.8449999999998</v>
      </c>
      <c r="AC122" s="54">
        <v>288.89499999999998</v>
      </c>
      <c r="AD122" s="36">
        <v>6014.3369999999995</v>
      </c>
    </row>
    <row r="123" spans="1:30" s="37" customFormat="1" ht="15.75" customHeight="1" x14ac:dyDescent="0.2">
      <c r="A123" s="26">
        <v>2346</v>
      </c>
      <c r="B123" s="27" t="s">
        <v>386</v>
      </c>
      <c r="C123" s="27" t="s">
        <v>48</v>
      </c>
      <c r="D123" s="28">
        <v>0.03</v>
      </c>
      <c r="E123" s="29">
        <v>297.64</v>
      </c>
      <c r="F123" s="29">
        <v>14.7</v>
      </c>
      <c r="G123" s="30" t="s">
        <v>27</v>
      </c>
      <c r="H123" s="27" t="s">
        <v>94</v>
      </c>
      <c r="I123" s="27" t="s">
        <v>41</v>
      </c>
      <c r="J123" s="27" t="s">
        <v>57</v>
      </c>
      <c r="K123" s="27" t="s">
        <v>58</v>
      </c>
      <c r="L123" s="31" t="s">
        <v>387</v>
      </c>
      <c r="M123" s="32">
        <v>0.56999999999999995</v>
      </c>
      <c r="N123" s="27" t="s">
        <v>33</v>
      </c>
      <c r="O123" s="27" t="s">
        <v>34</v>
      </c>
      <c r="P123" s="27" t="s">
        <v>388</v>
      </c>
      <c r="Q123" s="27" t="s">
        <v>389</v>
      </c>
      <c r="R123" s="33">
        <v>40258</v>
      </c>
      <c r="S123" s="34">
        <v>42014</v>
      </c>
      <c r="T123" s="34">
        <v>42019</v>
      </c>
      <c r="U123" s="29">
        <v>-48.972000000000001</v>
      </c>
      <c r="V123" s="26">
        <v>12</v>
      </c>
      <c r="W123" s="29">
        <v>3707.05</v>
      </c>
      <c r="X123" s="26">
        <v>89503</v>
      </c>
      <c r="Y123" s="35">
        <v>3.2199999999999998</v>
      </c>
      <c r="Z123" s="1" t="s">
        <v>3011</v>
      </c>
      <c r="AA123" s="36">
        <v>107.15039999999999</v>
      </c>
      <c r="AB123" s="54">
        <v>1594.0315000000003</v>
      </c>
      <c r="AC123" s="54">
        <v>176.08487499999998</v>
      </c>
      <c r="AD123" s="36">
        <v>3634.1716000000001</v>
      </c>
    </row>
    <row r="124" spans="1:30" s="37" customFormat="1" ht="15.75" customHeight="1" x14ac:dyDescent="0.2">
      <c r="A124" s="26">
        <v>1976</v>
      </c>
      <c r="B124" s="27" t="s">
        <v>377</v>
      </c>
      <c r="C124" s="27" t="s">
        <v>26</v>
      </c>
      <c r="D124" s="28">
        <v>0.05</v>
      </c>
      <c r="E124" s="29">
        <v>70.98</v>
      </c>
      <c r="F124" s="29">
        <v>46.74</v>
      </c>
      <c r="G124" s="30" t="s">
        <v>27</v>
      </c>
      <c r="H124" s="27" t="s">
        <v>40</v>
      </c>
      <c r="I124" s="27" t="s">
        <v>29</v>
      </c>
      <c r="J124" s="27" t="s">
        <v>117</v>
      </c>
      <c r="K124" s="27" t="s">
        <v>31</v>
      </c>
      <c r="L124" s="31" t="s">
        <v>378</v>
      </c>
      <c r="M124" s="32">
        <v>0.56000000000000005</v>
      </c>
      <c r="N124" s="27" t="s">
        <v>33</v>
      </c>
      <c r="O124" s="27" t="s">
        <v>53</v>
      </c>
      <c r="P124" s="27" t="s">
        <v>289</v>
      </c>
      <c r="Q124" s="27" t="s">
        <v>379</v>
      </c>
      <c r="R124" s="33">
        <v>48823</v>
      </c>
      <c r="S124" s="34">
        <v>42014</v>
      </c>
      <c r="T124" s="34">
        <v>42015</v>
      </c>
      <c r="U124" s="29">
        <v>-850.65239999999994</v>
      </c>
      <c r="V124" s="26">
        <v>8</v>
      </c>
      <c r="W124" s="29">
        <v>551.51</v>
      </c>
      <c r="X124" s="26">
        <v>89039</v>
      </c>
      <c r="Y124" s="35">
        <v>8.33</v>
      </c>
      <c r="Z124" s="1" t="s">
        <v>3012</v>
      </c>
      <c r="AA124" s="36">
        <v>28.392000000000003</v>
      </c>
      <c r="AB124" s="54">
        <v>242.66439999999997</v>
      </c>
      <c r="AC124" s="54">
        <v>38.605700000000006</v>
      </c>
      <c r="AD124" s="36">
        <v>1327.0303999999999</v>
      </c>
    </row>
    <row r="125" spans="1:30" s="37" customFormat="1" ht="15.75" customHeight="1" x14ac:dyDescent="0.2">
      <c r="A125" s="26">
        <v>2132</v>
      </c>
      <c r="B125" s="27" t="s">
        <v>383</v>
      </c>
      <c r="C125" s="27" t="s">
        <v>48</v>
      </c>
      <c r="D125" s="28">
        <v>0.05</v>
      </c>
      <c r="E125" s="29">
        <v>30.42</v>
      </c>
      <c r="F125" s="29">
        <v>8.65</v>
      </c>
      <c r="G125" s="30" t="s">
        <v>87</v>
      </c>
      <c r="H125" s="27" t="s">
        <v>71</v>
      </c>
      <c r="I125" s="27" t="s">
        <v>41</v>
      </c>
      <c r="J125" s="27" t="s">
        <v>42</v>
      </c>
      <c r="K125" s="27" t="s">
        <v>73</v>
      </c>
      <c r="L125" s="31" t="s">
        <v>384</v>
      </c>
      <c r="M125" s="32">
        <v>0.74</v>
      </c>
      <c r="N125" s="27" t="s">
        <v>33</v>
      </c>
      <c r="O125" s="27" t="s">
        <v>53</v>
      </c>
      <c r="P125" s="27" t="s">
        <v>80</v>
      </c>
      <c r="Q125" s="27" t="s">
        <v>385</v>
      </c>
      <c r="R125" s="33">
        <v>63042</v>
      </c>
      <c r="S125" s="34">
        <v>42014</v>
      </c>
      <c r="T125" s="34">
        <v>42018</v>
      </c>
      <c r="U125" s="29">
        <v>-191.2576</v>
      </c>
      <c r="V125" s="26">
        <v>11</v>
      </c>
      <c r="W125" s="29">
        <v>334.44</v>
      </c>
      <c r="X125" s="26">
        <v>90078</v>
      </c>
      <c r="Y125" s="35">
        <v>3.2199999999999998</v>
      </c>
      <c r="Z125" s="1" t="s">
        <v>3012</v>
      </c>
      <c r="AA125" s="36">
        <v>16.731000000000002</v>
      </c>
      <c r="AB125" s="54">
        <v>86.954400000000007</v>
      </c>
      <c r="AC125" s="54">
        <v>22.498690909090907</v>
      </c>
      <c r="AD125" s="36">
        <v>500.31659999999999</v>
      </c>
    </row>
    <row r="126" spans="1:30" s="37" customFormat="1" ht="15.75" customHeight="1" x14ac:dyDescent="0.2">
      <c r="A126" s="26">
        <v>894</v>
      </c>
      <c r="B126" s="27" t="s">
        <v>372</v>
      </c>
      <c r="C126" s="27" t="s">
        <v>26</v>
      </c>
      <c r="D126" s="28">
        <v>0.01</v>
      </c>
      <c r="E126" s="29">
        <v>8.34</v>
      </c>
      <c r="F126" s="29">
        <v>0.96</v>
      </c>
      <c r="G126" s="30" t="s">
        <v>39</v>
      </c>
      <c r="H126" s="27" t="s">
        <v>94</v>
      </c>
      <c r="I126" s="27" t="s">
        <v>29</v>
      </c>
      <c r="J126" s="27" t="s">
        <v>126</v>
      </c>
      <c r="K126" s="27" t="s">
        <v>51</v>
      </c>
      <c r="L126" s="31" t="s">
        <v>373</v>
      </c>
      <c r="M126" s="32">
        <v>0.43</v>
      </c>
      <c r="N126" s="27" t="s">
        <v>33</v>
      </c>
      <c r="O126" s="27" t="s">
        <v>111</v>
      </c>
      <c r="P126" s="27" t="s">
        <v>374</v>
      </c>
      <c r="Q126" s="27" t="s">
        <v>67</v>
      </c>
      <c r="R126" s="33">
        <v>20024</v>
      </c>
      <c r="S126" s="34">
        <v>42014</v>
      </c>
      <c r="T126" s="34">
        <v>42016</v>
      </c>
      <c r="U126" s="29">
        <v>29.332000000000001</v>
      </c>
      <c r="V126" s="26">
        <v>24</v>
      </c>
      <c r="W126" s="29">
        <v>199.12</v>
      </c>
      <c r="X126" s="26">
        <v>14596</v>
      </c>
      <c r="Y126" s="35">
        <v>70.930000000000007</v>
      </c>
      <c r="Z126" s="1" t="s">
        <v>3014</v>
      </c>
      <c r="AA126" s="36">
        <v>2.0015999999999998</v>
      </c>
      <c r="AB126" s="54">
        <v>113.49840000000002</v>
      </c>
      <c r="AC126" s="54">
        <v>3.5675666666666666</v>
      </c>
      <c r="AD126" s="36">
        <v>166.82640000000001</v>
      </c>
    </row>
    <row r="127" spans="1:30" s="37" customFormat="1" ht="15.75" customHeight="1" x14ac:dyDescent="0.2">
      <c r="A127" s="26">
        <v>1976</v>
      </c>
      <c r="B127" s="27" t="s">
        <v>377</v>
      </c>
      <c r="C127" s="27" t="s">
        <v>26</v>
      </c>
      <c r="D127" s="28">
        <v>0.05</v>
      </c>
      <c r="E127" s="29">
        <v>11.55</v>
      </c>
      <c r="F127" s="29">
        <v>2.36</v>
      </c>
      <c r="G127" s="30" t="s">
        <v>39</v>
      </c>
      <c r="H127" s="27" t="s">
        <v>40</v>
      </c>
      <c r="I127" s="27" t="s">
        <v>49</v>
      </c>
      <c r="J127" s="27" t="s">
        <v>50</v>
      </c>
      <c r="K127" s="27" t="s">
        <v>51</v>
      </c>
      <c r="L127" s="31" t="s">
        <v>380</v>
      </c>
      <c r="M127" s="32">
        <v>0.55000000000000004</v>
      </c>
      <c r="N127" s="27" t="s">
        <v>33</v>
      </c>
      <c r="O127" s="27" t="s">
        <v>53</v>
      </c>
      <c r="P127" s="27" t="s">
        <v>289</v>
      </c>
      <c r="Q127" s="27" t="s">
        <v>379</v>
      </c>
      <c r="R127" s="33">
        <v>48823</v>
      </c>
      <c r="S127" s="34">
        <v>42014</v>
      </c>
      <c r="T127" s="34">
        <v>42016</v>
      </c>
      <c r="U127" s="29">
        <v>98.525099999999995</v>
      </c>
      <c r="V127" s="26">
        <v>12</v>
      </c>
      <c r="W127" s="29">
        <v>142.79</v>
      </c>
      <c r="X127" s="26">
        <v>89039</v>
      </c>
      <c r="Y127" s="35">
        <v>11.5</v>
      </c>
      <c r="Z127" s="1" t="s">
        <v>3012</v>
      </c>
      <c r="AA127" s="36">
        <v>6.93</v>
      </c>
      <c r="AB127" s="54">
        <v>64.255499999999984</v>
      </c>
      <c r="AC127" s="54">
        <v>6.5445416666666665</v>
      </c>
      <c r="AD127" s="36">
        <v>34.974899999999991</v>
      </c>
    </row>
    <row r="128" spans="1:30" s="37" customFormat="1" ht="15.75" customHeight="1" x14ac:dyDescent="0.2">
      <c r="A128" s="26">
        <v>894</v>
      </c>
      <c r="B128" s="27" t="s">
        <v>372</v>
      </c>
      <c r="C128" s="27" t="s">
        <v>26</v>
      </c>
      <c r="D128" s="28">
        <v>0.06</v>
      </c>
      <c r="E128" s="29">
        <v>3.28</v>
      </c>
      <c r="F128" s="29">
        <v>3.97</v>
      </c>
      <c r="G128" s="30" t="s">
        <v>39</v>
      </c>
      <c r="H128" s="27" t="s">
        <v>94</v>
      </c>
      <c r="I128" s="27" t="s">
        <v>49</v>
      </c>
      <c r="J128" s="27" t="s">
        <v>50</v>
      </c>
      <c r="K128" s="27" t="s">
        <v>51</v>
      </c>
      <c r="L128" s="31" t="s">
        <v>367</v>
      </c>
      <c r="M128" s="32">
        <v>0.56000000000000005</v>
      </c>
      <c r="N128" s="27" t="s">
        <v>33</v>
      </c>
      <c r="O128" s="27" t="s">
        <v>111</v>
      </c>
      <c r="P128" s="27" t="s">
        <v>374</v>
      </c>
      <c r="Q128" s="27" t="s">
        <v>67</v>
      </c>
      <c r="R128" s="33">
        <v>20024</v>
      </c>
      <c r="S128" s="34">
        <v>42014</v>
      </c>
      <c r="T128" s="34">
        <v>42015</v>
      </c>
      <c r="U128" s="29">
        <v>-86</v>
      </c>
      <c r="V128" s="26">
        <v>19</v>
      </c>
      <c r="W128" s="29">
        <v>63.14</v>
      </c>
      <c r="X128" s="26">
        <v>14596</v>
      </c>
      <c r="Y128" s="35">
        <v>599.89</v>
      </c>
      <c r="Z128" s="1" t="s">
        <v>3014</v>
      </c>
      <c r="AA128" s="36">
        <v>3.7391999999999994</v>
      </c>
      <c r="AB128" s="54">
        <v>27.781599999999997</v>
      </c>
      <c r="AC128" s="54">
        <v>1.8609684210526318</v>
      </c>
      <c r="AD128" s="36">
        <v>141.4308</v>
      </c>
    </row>
    <row r="129" spans="1:30" s="37" customFormat="1" ht="15.75" customHeight="1" x14ac:dyDescent="0.2">
      <c r="A129" s="26">
        <v>896</v>
      </c>
      <c r="B129" s="27" t="s">
        <v>375</v>
      </c>
      <c r="C129" s="27" t="s">
        <v>26</v>
      </c>
      <c r="D129" s="28">
        <v>0.01</v>
      </c>
      <c r="E129" s="29">
        <v>8.34</v>
      </c>
      <c r="F129" s="29">
        <v>0.96</v>
      </c>
      <c r="G129" s="30" t="s">
        <v>39</v>
      </c>
      <c r="H129" s="27" t="s">
        <v>94</v>
      </c>
      <c r="I129" s="27" t="s">
        <v>29</v>
      </c>
      <c r="J129" s="27" t="s">
        <v>126</v>
      </c>
      <c r="K129" s="27" t="s">
        <v>51</v>
      </c>
      <c r="L129" s="31" t="s">
        <v>373</v>
      </c>
      <c r="M129" s="32">
        <v>0.43</v>
      </c>
      <c r="N129" s="27" t="s">
        <v>33</v>
      </c>
      <c r="O129" s="27" t="s">
        <v>53</v>
      </c>
      <c r="P129" s="27" t="s">
        <v>187</v>
      </c>
      <c r="Q129" s="27" t="s">
        <v>376</v>
      </c>
      <c r="R129" s="33">
        <v>76201</v>
      </c>
      <c r="S129" s="34">
        <v>42014</v>
      </c>
      <c r="T129" s="34">
        <v>42016</v>
      </c>
      <c r="U129" s="29">
        <v>34.348199999999999</v>
      </c>
      <c r="V129" s="26">
        <v>6</v>
      </c>
      <c r="W129" s="29">
        <v>49.78</v>
      </c>
      <c r="X129" s="26">
        <v>90166</v>
      </c>
      <c r="Y129" s="35">
        <v>2.7199999999999998</v>
      </c>
      <c r="Z129" s="1" t="s">
        <v>3012</v>
      </c>
      <c r="AA129" s="36">
        <v>0.50039999999999996</v>
      </c>
      <c r="AB129" s="54">
        <v>28.374600000000004</v>
      </c>
      <c r="AC129" s="54">
        <v>3.5675666666666666</v>
      </c>
      <c r="AD129" s="36">
        <v>13.971400000000003</v>
      </c>
    </row>
    <row r="130" spans="1:30" s="37" customFormat="1" ht="15.75" customHeight="1" x14ac:dyDescent="0.2">
      <c r="A130" s="26">
        <v>2797</v>
      </c>
      <c r="B130" s="27" t="s">
        <v>390</v>
      </c>
      <c r="C130" s="27" t="s">
        <v>116</v>
      </c>
      <c r="D130" s="28">
        <v>0</v>
      </c>
      <c r="E130" s="29">
        <v>5.0199999999999996</v>
      </c>
      <c r="F130" s="29">
        <v>5.14</v>
      </c>
      <c r="G130" s="30" t="s">
        <v>39</v>
      </c>
      <c r="H130" s="27" t="s">
        <v>40</v>
      </c>
      <c r="I130" s="27" t="s">
        <v>41</v>
      </c>
      <c r="J130" s="27" t="s">
        <v>42</v>
      </c>
      <c r="K130" s="27" t="s">
        <v>43</v>
      </c>
      <c r="L130" s="31" t="s">
        <v>391</v>
      </c>
      <c r="M130" s="32">
        <v>0.79</v>
      </c>
      <c r="N130" s="27" t="s">
        <v>33</v>
      </c>
      <c r="O130" s="27" t="s">
        <v>111</v>
      </c>
      <c r="P130" s="27" t="s">
        <v>320</v>
      </c>
      <c r="Q130" s="27" t="s">
        <v>392</v>
      </c>
      <c r="R130" s="33">
        <v>15122</v>
      </c>
      <c r="S130" s="34">
        <v>42014</v>
      </c>
      <c r="T130" s="34">
        <v>42015</v>
      </c>
      <c r="U130" s="29">
        <v>-159.30279999999999</v>
      </c>
      <c r="V130" s="26">
        <v>8</v>
      </c>
      <c r="W130" s="29">
        <v>43.94</v>
      </c>
      <c r="X130" s="26">
        <v>87552</v>
      </c>
      <c r="Y130" s="35">
        <v>30.37</v>
      </c>
      <c r="Z130" s="1" t="s">
        <v>3014</v>
      </c>
      <c r="AA130" s="36">
        <v>0</v>
      </c>
      <c r="AB130" s="54">
        <v>9.2273999999999976</v>
      </c>
      <c r="AC130" s="54">
        <v>4.3390750000000002</v>
      </c>
      <c r="AD130" s="36">
        <v>198.1028</v>
      </c>
    </row>
    <row r="131" spans="1:30" s="37" customFormat="1" ht="15.75" customHeight="1" x14ac:dyDescent="0.2">
      <c r="A131" s="26">
        <v>194</v>
      </c>
      <c r="B131" s="27" t="s">
        <v>393</v>
      </c>
      <c r="C131" s="27" t="s">
        <v>3094</v>
      </c>
      <c r="D131" s="28">
        <v>0.02</v>
      </c>
      <c r="E131" s="29">
        <v>6.48</v>
      </c>
      <c r="F131" s="29">
        <v>9.17</v>
      </c>
      <c r="G131" s="30" t="s">
        <v>39</v>
      </c>
      <c r="H131" s="27" t="s">
        <v>94</v>
      </c>
      <c r="I131" s="27" t="s">
        <v>49</v>
      </c>
      <c r="J131" s="27" t="s">
        <v>88</v>
      </c>
      <c r="K131" s="27" t="s">
        <v>73</v>
      </c>
      <c r="L131" s="31" t="s">
        <v>394</v>
      </c>
      <c r="M131" s="32">
        <v>0.37</v>
      </c>
      <c r="N131" s="27" t="s">
        <v>33</v>
      </c>
      <c r="O131" s="27" t="s">
        <v>60</v>
      </c>
      <c r="P131" s="27" t="s">
        <v>146</v>
      </c>
      <c r="Q131" s="27" t="s">
        <v>395</v>
      </c>
      <c r="R131" s="33">
        <v>84043</v>
      </c>
      <c r="S131" s="34">
        <v>42014</v>
      </c>
      <c r="T131" s="34">
        <v>42015</v>
      </c>
      <c r="U131" s="29">
        <v>-105.68519999999999</v>
      </c>
      <c r="V131" s="26">
        <v>4</v>
      </c>
      <c r="W131" s="29">
        <v>28.2</v>
      </c>
      <c r="X131" s="26">
        <v>90431</v>
      </c>
      <c r="Y131" s="35">
        <v>297.61</v>
      </c>
      <c r="Z131" s="1" t="s">
        <v>3013</v>
      </c>
      <c r="AA131" s="36">
        <v>0.51840000000000008</v>
      </c>
      <c r="AB131" s="54">
        <v>17.765999999999998</v>
      </c>
      <c r="AC131" s="54">
        <v>2.6084999999999998</v>
      </c>
      <c r="AD131" s="36">
        <v>124.1968</v>
      </c>
    </row>
    <row r="132" spans="1:30" s="37" customFormat="1" ht="15.75" customHeight="1" x14ac:dyDescent="0.2">
      <c r="A132" s="26">
        <v>2418</v>
      </c>
      <c r="B132" s="27" t="s">
        <v>240</v>
      </c>
      <c r="C132" s="27" t="s">
        <v>38</v>
      </c>
      <c r="D132" s="28">
        <v>0.06</v>
      </c>
      <c r="E132" s="29">
        <v>2.78</v>
      </c>
      <c r="F132" s="29">
        <v>1.25</v>
      </c>
      <c r="G132" s="30" t="s">
        <v>39</v>
      </c>
      <c r="H132" s="27" t="s">
        <v>40</v>
      </c>
      <c r="I132" s="27" t="s">
        <v>49</v>
      </c>
      <c r="J132" s="27" t="s">
        <v>50</v>
      </c>
      <c r="K132" s="27" t="s">
        <v>51</v>
      </c>
      <c r="L132" s="31" t="s">
        <v>382</v>
      </c>
      <c r="M132" s="32">
        <v>0.59</v>
      </c>
      <c r="N132" s="27" t="s">
        <v>33</v>
      </c>
      <c r="O132" s="27" t="s">
        <v>34</v>
      </c>
      <c r="P132" s="27" t="s">
        <v>242</v>
      </c>
      <c r="Q132" s="27" t="s">
        <v>243</v>
      </c>
      <c r="R132" s="33">
        <v>23805</v>
      </c>
      <c r="S132" s="34">
        <v>42014</v>
      </c>
      <c r="T132" s="34">
        <v>42016</v>
      </c>
      <c r="U132" s="29">
        <v>66.36</v>
      </c>
      <c r="V132" s="26">
        <v>10</v>
      </c>
      <c r="W132" s="29">
        <v>28.09</v>
      </c>
      <c r="X132" s="26">
        <v>86753</v>
      </c>
      <c r="Y132" s="35">
        <v>5.0199999999999996</v>
      </c>
      <c r="Z132" s="1" t="s">
        <v>3011</v>
      </c>
      <c r="AA132" s="36">
        <v>1.6679999999999997</v>
      </c>
      <c r="AB132" s="54">
        <v>11.516900000000001</v>
      </c>
      <c r="AC132" s="54">
        <v>1.6573100000000001</v>
      </c>
      <c r="AD132" s="36">
        <v>-41.188000000000002</v>
      </c>
    </row>
    <row r="133" spans="1:30" s="37" customFormat="1" ht="15.75" customHeight="1" x14ac:dyDescent="0.2">
      <c r="A133" s="26">
        <v>896</v>
      </c>
      <c r="B133" s="27" t="s">
        <v>375</v>
      </c>
      <c r="C133" s="27" t="s">
        <v>26</v>
      </c>
      <c r="D133" s="28">
        <v>0.06</v>
      </c>
      <c r="E133" s="29">
        <v>3.28</v>
      </c>
      <c r="F133" s="29">
        <v>3.97</v>
      </c>
      <c r="G133" s="30" t="s">
        <v>39</v>
      </c>
      <c r="H133" s="27" t="s">
        <v>94</v>
      </c>
      <c r="I133" s="27" t="s">
        <v>49</v>
      </c>
      <c r="J133" s="27" t="s">
        <v>50</v>
      </c>
      <c r="K133" s="27" t="s">
        <v>51</v>
      </c>
      <c r="L133" s="31" t="s">
        <v>367</v>
      </c>
      <c r="M133" s="32">
        <v>0.56000000000000005</v>
      </c>
      <c r="N133" s="27" t="s">
        <v>33</v>
      </c>
      <c r="O133" s="27" t="s">
        <v>53</v>
      </c>
      <c r="P133" s="27" t="s">
        <v>187</v>
      </c>
      <c r="Q133" s="27" t="s">
        <v>376</v>
      </c>
      <c r="R133" s="33">
        <v>76201</v>
      </c>
      <c r="S133" s="34">
        <v>42014</v>
      </c>
      <c r="T133" s="34">
        <v>42015</v>
      </c>
      <c r="U133" s="29">
        <v>-66.650000000000006</v>
      </c>
      <c r="V133" s="26">
        <v>5</v>
      </c>
      <c r="W133" s="29">
        <v>16.62</v>
      </c>
      <c r="X133" s="26">
        <v>90166</v>
      </c>
      <c r="Y133" s="35">
        <v>6.4600000000000009</v>
      </c>
      <c r="Z133" s="1" t="s">
        <v>3012</v>
      </c>
      <c r="AA133" s="36">
        <v>0.98399999999999987</v>
      </c>
      <c r="AB133" s="54">
        <v>7.3127999999999993</v>
      </c>
      <c r="AC133" s="54">
        <v>1.8614400000000004</v>
      </c>
      <c r="AD133" s="36">
        <v>78.316000000000003</v>
      </c>
    </row>
    <row r="134" spans="1:30" s="37" customFormat="1" ht="15.75" customHeight="1" x14ac:dyDescent="0.2">
      <c r="A134" s="26">
        <v>166</v>
      </c>
      <c r="B134" s="27" t="s">
        <v>399</v>
      </c>
      <c r="C134" s="27" t="s">
        <v>48</v>
      </c>
      <c r="D134" s="28">
        <v>0.08</v>
      </c>
      <c r="E134" s="29">
        <v>399.98</v>
      </c>
      <c r="F134" s="29">
        <v>12.06</v>
      </c>
      <c r="G134" s="30" t="s">
        <v>27</v>
      </c>
      <c r="H134" s="27" t="s">
        <v>40</v>
      </c>
      <c r="I134" s="27" t="s">
        <v>41</v>
      </c>
      <c r="J134" s="27" t="s">
        <v>57</v>
      </c>
      <c r="K134" s="27" t="s">
        <v>31</v>
      </c>
      <c r="L134" s="31" t="s">
        <v>183</v>
      </c>
      <c r="M134" s="32">
        <v>0.56000000000000005</v>
      </c>
      <c r="N134" s="27" t="s">
        <v>33</v>
      </c>
      <c r="O134" s="27" t="s">
        <v>34</v>
      </c>
      <c r="P134" s="27" t="s">
        <v>400</v>
      </c>
      <c r="Q134" s="27" t="s">
        <v>401</v>
      </c>
      <c r="R134" s="33">
        <v>37087</v>
      </c>
      <c r="S134" s="34">
        <v>42015</v>
      </c>
      <c r="T134" s="34">
        <v>42022</v>
      </c>
      <c r="U134" s="29">
        <v>28.514099999999999</v>
      </c>
      <c r="V134" s="26">
        <v>5</v>
      </c>
      <c r="W134" s="29">
        <v>1839.91</v>
      </c>
      <c r="X134" s="26">
        <v>89426</v>
      </c>
      <c r="Y134" s="35">
        <v>14.12</v>
      </c>
      <c r="Z134" s="1" t="s">
        <v>3011</v>
      </c>
      <c r="AA134" s="36">
        <v>159.99200000000002</v>
      </c>
      <c r="AB134" s="54">
        <v>809.56039999999996</v>
      </c>
      <c r="AC134" s="54">
        <v>206.06992000000002</v>
      </c>
      <c r="AD134" s="36">
        <v>1639.3439000000001</v>
      </c>
    </row>
    <row r="135" spans="1:30" s="37" customFormat="1" ht="15.75" customHeight="1" x14ac:dyDescent="0.2">
      <c r="A135" s="26">
        <v>466</v>
      </c>
      <c r="B135" s="27" t="s">
        <v>402</v>
      </c>
      <c r="C135" s="27" t="s">
        <v>3094</v>
      </c>
      <c r="D135" s="28">
        <v>0.08</v>
      </c>
      <c r="E135" s="29">
        <v>297.64</v>
      </c>
      <c r="F135" s="29">
        <v>14.7</v>
      </c>
      <c r="G135" s="30" t="s">
        <v>27</v>
      </c>
      <c r="H135" s="27" t="s">
        <v>3095</v>
      </c>
      <c r="I135" s="27" t="s">
        <v>41</v>
      </c>
      <c r="J135" s="27" t="s">
        <v>57</v>
      </c>
      <c r="K135" s="27" t="s">
        <v>58</v>
      </c>
      <c r="L135" s="31" t="s">
        <v>387</v>
      </c>
      <c r="M135" s="32">
        <v>0.56999999999999995</v>
      </c>
      <c r="N135" s="27" t="s">
        <v>33</v>
      </c>
      <c r="O135" s="27" t="s">
        <v>111</v>
      </c>
      <c r="P135" s="27" t="s">
        <v>403</v>
      </c>
      <c r="Q135" s="27" t="s">
        <v>404</v>
      </c>
      <c r="R135" s="33">
        <v>2019</v>
      </c>
      <c r="S135" s="34">
        <v>42015</v>
      </c>
      <c r="T135" s="34">
        <v>42015</v>
      </c>
      <c r="U135" s="29">
        <v>496.79680000000002</v>
      </c>
      <c r="V135" s="26">
        <v>5</v>
      </c>
      <c r="W135" s="29">
        <v>1132.8399999999999</v>
      </c>
      <c r="X135" s="26">
        <v>88060</v>
      </c>
      <c r="Y135" s="35">
        <v>399.90000000000003</v>
      </c>
      <c r="Z135" s="1" t="s">
        <v>3014</v>
      </c>
      <c r="AA135" s="36">
        <v>119.056</v>
      </c>
      <c r="AB135" s="54">
        <v>487.12120000000004</v>
      </c>
      <c r="AC135" s="54">
        <v>129.14375999999999</v>
      </c>
      <c r="AD135" s="36">
        <v>502.28719999999987</v>
      </c>
    </row>
    <row r="136" spans="1:30" s="37" customFormat="1" ht="15.75" customHeight="1" x14ac:dyDescent="0.2">
      <c r="A136" s="26">
        <v>467</v>
      </c>
      <c r="B136" s="27" t="s">
        <v>405</v>
      </c>
      <c r="C136" s="27" t="s">
        <v>3094</v>
      </c>
      <c r="D136" s="28">
        <v>0.02</v>
      </c>
      <c r="E136" s="29">
        <v>12.99</v>
      </c>
      <c r="F136" s="29">
        <v>14.37</v>
      </c>
      <c r="G136" s="30" t="s">
        <v>39</v>
      </c>
      <c r="H136" s="27" t="s">
        <v>3095</v>
      </c>
      <c r="I136" s="27" t="s">
        <v>29</v>
      </c>
      <c r="J136" s="27" t="s">
        <v>126</v>
      </c>
      <c r="K136" s="27" t="s">
        <v>65</v>
      </c>
      <c r="L136" s="31" t="s">
        <v>406</v>
      </c>
      <c r="M136" s="32">
        <v>0.73</v>
      </c>
      <c r="N136" s="27" t="s">
        <v>33</v>
      </c>
      <c r="O136" s="27" t="s">
        <v>111</v>
      </c>
      <c r="P136" s="27" t="s">
        <v>403</v>
      </c>
      <c r="Q136" s="27" t="s">
        <v>407</v>
      </c>
      <c r="R136" s="33">
        <v>1915</v>
      </c>
      <c r="S136" s="34">
        <v>42015</v>
      </c>
      <c r="T136" s="34">
        <v>42016</v>
      </c>
      <c r="U136" s="29">
        <v>-556.80960000000005</v>
      </c>
      <c r="V136" s="26">
        <v>11</v>
      </c>
      <c r="W136" s="29">
        <v>143.63</v>
      </c>
      <c r="X136" s="26">
        <v>88060</v>
      </c>
      <c r="Y136" s="35">
        <v>297.56</v>
      </c>
      <c r="Z136" s="1" t="s">
        <v>3014</v>
      </c>
      <c r="AA136" s="36">
        <v>2.8578000000000001</v>
      </c>
      <c r="AB136" s="54">
        <v>38.780100000000004</v>
      </c>
      <c r="AC136" s="54">
        <v>9.5318090909090909</v>
      </c>
      <c r="AD136" s="36">
        <v>683.21180000000004</v>
      </c>
    </row>
    <row r="137" spans="1:30" s="37" customFormat="1" ht="15.75" customHeight="1" x14ac:dyDescent="0.2">
      <c r="A137" s="26">
        <v>468</v>
      </c>
      <c r="B137" s="27" t="s">
        <v>408</v>
      </c>
      <c r="C137" s="27" t="s">
        <v>3094</v>
      </c>
      <c r="D137" s="28">
        <v>0.06</v>
      </c>
      <c r="E137" s="29">
        <v>14.42</v>
      </c>
      <c r="F137" s="29">
        <v>6.75</v>
      </c>
      <c r="G137" s="30" t="s">
        <v>39</v>
      </c>
      <c r="H137" s="27" t="s">
        <v>3095</v>
      </c>
      <c r="I137" s="27" t="s">
        <v>49</v>
      </c>
      <c r="J137" s="27" t="s">
        <v>95</v>
      </c>
      <c r="K137" s="27" t="s">
        <v>144</v>
      </c>
      <c r="L137" s="31" t="s">
        <v>409</v>
      </c>
      <c r="M137" s="32">
        <v>0.52</v>
      </c>
      <c r="N137" s="27" t="s">
        <v>33</v>
      </c>
      <c r="O137" s="27" t="s">
        <v>111</v>
      </c>
      <c r="P137" s="27" t="s">
        <v>403</v>
      </c>
      <c r="Q137" s="27" t="s">
        <v>410</v>
      </c>
      <c r="R137" s="33">
        <v>2341</v>
      </c>
      <c r="S137" s="34">
        <v>42015</v>
      </c>
      <c r="T137" s="34">
        <v>42016</v>
      </c>
      <c r="U137" s="29">
        <v>-27.738800000000001</v>
      </c>
      <c r="V137" s="26">
        <v>5</v>
      </c>
      <c r="W137" s="29">
        <v>73.040000000000006</v>
      </c>
      <c r="X137" s="26">
        <v>88060</v>
      </c>
      <c r="Y137" s="35">
        <v>12.97</v>
      </c>
      <c r="Z137" s="1" t="s">
        <v>3014</v>
      </c>
      <c r="AA137" s="36">
        <v>4.3259999999999996</v>
      </c>
      <c r="AB137" s="54">
        <v>35.059200000000004</v>
      </c>
      <c r="AC137" s="54">
        <v>7.5961600000000002</v>
      </c>
      <c r="AD137" s="36">
        <v>89.702800000000011</v>
      </c>
    </row>
    <row r="138" spans="1:30" s="37" customFormat="1" ht="15.75" customHeight="1" x14ac:dyDescent="0.2">
      <c r="A138" s="26">
        <v>947</v>
      </c>
      <c r="B138" s="27" t="s">
        <v>396</v>
      </c>
      <c r="C138" s="27" t="s">
        <v>26</v>
      </c>
      <c r="D138" s="28">
        <v>0.08</v>
      </c>
      <c r="E138" s="29">
        <v>14.2</v>
      </c>
      <c r="F138" s="29">
        <v>5.3</v>
      </c>
      <c r="G138" s="30" t="s">
        <v>87</v>
      </c>
      <c r="H138" s="27" t="s">
        <v>71</v>
      </c>
      <c r="I138" s="27" t="s">
        <v>29</v>
      </c>
      <c r="J138" s="27" t="s">
        <v>126</v>
      </c>
      <c r="K138" s="27" t="s">
        <v>51</v>
      </c>
      <c r="L138" s="31" t="s">
        <v>288</v>
      </c>
      <c r="M138" s="32">
        <v>0.46</v>
      </c>
      <c r="N138" s="27" t="s">
        <v>33</v>
      </c>
      <c r="O138" s="27" t="s">
        <v>111</v>
      </c>
      <c r="P138" s="27" t="s">
        <v>397</v>
      </c>
      <c r="Q138" s="27" t="s">
        <v>398</v>
      </c>
      <c r="R138" s="33">
        <v>7002</v>
      </c>
      <c r="S138" s="34">
        <v>42015</v>
      </c>
      <c r="T138" s="34">
        <v>42017</v>
      </c>
      <c r="U138" s="29">
        <v>27.23</v>
      </c>
      <c r="V138" s="26">
        <v>5</v>
      </c>
      <c r="W138" s="29">
        <v>72.11</v>
      </c>
      <c r="X138" s="26">
        <v>86565</v>
      </c>
      <c r="Y138" s="35">
        <v>14.36</v>
      </c>
      <c r="Z138" s="1" t="s">
        <v>3014</v>
      </c>
      <c r="AA138" s="36">
        <v>5.68</v>
      </c>
      <c r="AB138" s="54">
        <v>38.939399999999999</v>
      </c>
      <c r="AC138" s="54">
        <v>6.6341200000000002</v>
      </c>
      <c r="AD138" s="36">
        <v>33.9</v>
      </c>
    </row>
    <row r="139" spans="1:30" s="37" customFormat="1" ht="15.75" customHeight="1" x14ac:dyDescent="0.2">
      <c r="A139" s="26">
        <v>470</v>
      </c>
      <c r="B139" s="27" t="s">
        <v>414</v>
      </c>
      <c r="C139" s="27" t="s">
        <v>3094</v>
      </c>
      <c r="D139" s="28">
        <v>0.03</v>
      </c>
      <c r="E139" s="29">
        <v>11.34</v>
      </c>
      <c r="F139" s="29">
        <v>5.01</v>
      </c>
      <c r="G139" s="30" t="s">
        <v>39</v>
      </c>
      <c r="H139" s="27" t="s">
        <v>3095</v>
      </c>
      <c r="I139" s="27" t="s">
        <v>49</v>
      </c>
      <c r="J139" s="27" t="s">
        <v>88</v>
      </c>
      <c r="K139" s="27" t="s">
        <v>73</v>
      </c>
      <c r="L139" s="31" t="s">
        <v>415</v>
      </c>
      <c r="M139" s="32">
        <v>0.36</v>
      </c>
      <c r="N139" s="27" t="s">
        <v>33</v>
      </c>
      <c r="O139" s="27" t="s">
        <v>111</v>
      </c>
      <c r="P139" s="27" t="s">
        <v>397</v>
      </c>
      <c r="Q139" s="27" t="s">
        <v>416</v>
      </c>
      <c r="R139" s="33">
        <v>8601</v>
      </c>
      <c r="S139" s="34">
        <v>42015</v>
      </c>
      <c r="T139" s="34">
        <v>42015</v>
      </c>
      <c r="U139" s="29">
        <v>23.2028</v>
      </c>
      <c r="V139" s="26">
        <v>5</v>
      </c>
      <c r="W139" s="29">
        <v>60.24</v>
      </c>
      <c r="X139" s="26">
        <v>88060</v>
      </c>
      <c r="Y139" s="35">
        <v>4.09</v>
      </c>
      <c r="Z139" s="1" t="s">
        <v>3014</v>
      </c>
      <c r="AA139" s="36">
        <v>1.7010000000000001</v>
      </c>
      <c r="AB139" s="54">
        <v>38.553600000000003</v>
      </c>
      <c r="AC139" s="54">
        <v>4.3372799999999998</v>
      </c>
      <c r="AD139" s="36">
        <v>30.3262</v>
      </c>
    </row>
    <row r="140" spans="1:30" s="37" customFormat="1" ht="15.75" customHeight="1" x14ac:dyDescent="0.2">
      <c r="A140" s="26">
        <v>469</v>
      </c>
      <c r="B140" s="27" t="s">
        <v>411</v>
      </c>
      <c r="C140" s="27" t="s">
        <v>3094</v>
      </c>
      <c r="D140" s="28">
        <v>0.05</v>
      </c>
      <c r="E140" s="29">
        <v>4.1399999999999997</v>
      </c>
      <c r="F140" s="29">
        <v>6.6</v>
      </c>
      <c r="G140" s="30" t="s">
        <v>87</v>
      </c>
      <c r="H140" s="27" t="s">
        <v>3095</v>
      </c>
      <c r="I140" s="27" t="s">
        <v>29</v>
      </c>
      <c r="J140" s="27" t="s">
        <v>126</v>
      </c>
      <c r="K140" s="27" t="s">
        <v>73</v>
      </c>
      <c r="L140" s="31" t="s">
        <v>412</v>
      </c>
      <c r="M140" s="32">
        <v>0.49</v>
      </c>
      <c r="N140" s="27" t="s">
        <v>33</v>
      </c>
      <c r="O140" s="27" t="s">
        <v>111</v>
      </c>
      <c r="P140" s="27" t="s">
        <v>397</v>
      </c>
      <c r="Q140" s="27" t="s">
        <v>413</v>
      </c>
      <c r="R140" s="33">
        <v>7506</v>
      </c>
      <c r="S140" s="34">
        <v>42015</v>
      </c>
      <c r="T140" s="34">
        <v>42017</v>
      </c>
      <c r="U140" s="29">
        <v>-128.68719999999999</v>
      </c>
      <c r="V140" s="26">
        <v>7</v>
      </c>
      <c r="W140" s="29">
        <v>33.35</v>
      </c>
      <c r="X140" s="26">
        <v>88060</v>
      </c>
      <c r="Y140" s="35">
        <v>11.31</v>
      </c>
      <c r="Z140" s="1" t="s">
        <v>3014</v>
      </c>
      <c r="AA140" s="36">
        <v>1.4489999999999998</v>
      </c>
      <c r="AB140" s="54">
        <v>17.008500000000002</v>
      </c>
      <c r="AC140" s="54">
        <v>2.3344999999999998</v>
      </c>
      <c r="AD140" s="36">
        <v>153.98820000000001</v>
      </c>
    </row>
    <row r="141" spans="1:30" s="37" customFormat="1" ht="15.75" customHeight="1" x14ac:dyDescent="0.2">
      <c r="A141" s="26">
        <v>2776</v>
      </c>
      <c r="B141" s="27" t="s">
        <v>417</v>
      </c>
      <c r="C141" s="27" t="s">
        <v>26</v>
      </c>
      <c r="D141" s="28">
        <v>0.03</v>
      </c>
      <c r="E141" s="29">
        <v>350.98</v>
      </c>
      <c r="F141" s="29">
        <v>30</v>
      </c>
      <c r="G141" s="30" t="s">
        <v>27</v>
      </c>
      <c r="H141" s="27" t="s">
        <v>40</v>
      </c>
      <c r="I141" s="27" t="s">
        <v>29</v>
      </c>
      <c r="J141" s="27" t="s">
        <v>109</v>
      </c>
      <c r="K141" s="27" t="s">
        <v>58</v>
      </c>
      <c r="L141" s="31" t="s">
        <v>191</v>
      </c>
      <c r="M141" s="32">
        <v>0.61</v>
      </c>
      <c r="N141" s="27" t="s">
        <v>33</v>
      </c>
      <c r="O141" s="27" t="s">
        <v>111</v>
      </c>
      <c r="P141" s="27" t="s">
        <v>418</v>
      </c>
      <c r="Q141" s="27" t="s">
        <v>419</v>
      </c>
      <c r="R141" s="33">
        <v>20877</v>
      </c>
      <c r="S141" s="34">
        <v>42016</v>
      </c>
      <c r="T141" s="34">
        <v>42019</v>
      </c>
      <c r="U141" s="29">
        <v>2692.4421000000002</v>
      </c>
      <c r="V141" s="26">
        <v>11</v>
      </c>
      <c r="W141" s="29">
        <v>3902.09</v>
      </c>
      <c r="X141" s="26">
        <v>91228</v>
      </c>
      <c r="Y141" s="35">
        <v>350.95000000000005</v>
      </c>
      <c r="Z141" s="1" t="s">
        <v>3014</v>
      </c>
      <c r="AA141" s="36">
        <v>115.82340000000001</v>
      </c>
      <c r="AB141" s="54">
        <v>1521.8151</v>
      </c>
      <c r="AC141" s="54">
        <v>216.38862727272726</v>
      </c>
      <c r="AD141" s="36">
        <v>1063.8244999999997</v>
      </c>
    </row>
    <row r="142" spans="1:30" s="37" customFormat="1" ht="15.75" customHeight="1" x14ac:dyDescent="0.2">
      <c r="A142" s="26">
        <v>824</v>
      </c>
      <c r="B142" s="27" t="s">
        <v>434</v>
      </c>
      <c r="C142" s="27" t="s">
        <v>48</v>
      </c>
      <c r="D142" s="28">
        <v>0.09</v>
      </c>
      <c r="E142" s="29">
        <v>260.98</v>
      </c>
      <c r="F142" s="29">
        <v>41.91</v>
      </c>
      <c r="G142" s="30" t="s">
        <v>27</v>
      </c>
      <c r="H142" s="27" t="s">
        <v>3095</v>
      </c>
      <c r="I142" s="27" t="s">
        <v>29</v>
      </c>
      <c r="J142" s="27" t="s">
        <v>117</v>
      </c>
      <c r="K142" s="27" t="s">
        <v>31</v>
      </c>
      <c r="L142" s="31" t="s">
        <v>435</v>
      </c>
      <c r="M142" s="32">
        <v>0.59</v>
      </c>
      <c r="N142" s="27" t="s">
        <v>33</v>
      </c>
      <c r="O142" s="27" t="s">
        <v>34</v>
      </c>
      <c r="P142" s="27" t="s">
        <v>400</v>
      </c>
      <c r="Q142" s="27" t="s">
        <v>436</v>
      </c>
      <c r="R142" s="33">
        <v>37174</v>
      </c>
      <c r="S142" s="34">
        <v>42016</v>
      </c>
      <c r="T142" s="34">
        <v>42023</v>
      </c>
      <c r="U142" s="29">
        <v>-100.744</v>
      </c>
      <c r="V142" s="26">
        <v>8</v>
      </c>
      <c r="W142" s="29">
        <v>2044.9</v>
      </c>
      <c r="X142" s="26">
        <v>89257</v>
      </c>
      <c r="Y142" s="35">
        <v>1.64</v>
      </c>
      <c r="Z142" s="1" t="s">
        <v>3011</v>
      </c>
      <c r="AA142" s="36">
        <v>187.90559999999999</v>
      </c>
      <c r="AB142" s="54">
        <v>838.40900000000011</v>
      </c>
      <c r="AC142" s="54">
        <v>150.811375</v>
      </c>
      <c r="AD142" s="36">
        <v>1915.8284000000001</v>
      </c>
    </row>
    <row r="143" spans="1:30" s="37" customFormat="1" ht="15.75" customHeight="1" x14ac:dyDescent="0.2">
      <c r="A143" s="26">
        <v>2491</v>
      </c>
      <c r="B143" s="27" t="s">
        <v>457</v>
      </c>
      <c r="C143" s="27" t="s">
        <v>3094</v>
      </c>
      <c r="D143" s="28">
        <v>7.0000000000000007E-2</v>
      </c>
      <c r="E143" s="29">
        <v>65.989999999999995</v>
      </c>
      <c r="F143" s="29">
        <v>8.8000000000000007</v>
      </c>
      <c r="G143" s="30" t="s">
        <v>39</v>
      </c>
      <c r="H143" s="27" t="s">
        <v>71</v>
      </c>
      <c r="I143" s="27" t="s">
        <v>41</v>
      </c>
      <c r="J143" s="27" t="s">
        <v>135</v>
      </c>
      <c r="K143" s="27" t="s">
        <v>73</v>
      </c>
      <c r="L143" s="31" t="s">
        <v>452</v>
      </c>
      <c r="M143" s="32">
        <v>0.57999999999999996</v>
      </c>
      <c r="N143" s="27" t="s">
        <v>33</v>
      </c>
      <c r="O143" s="27" t="s">
        <v>60</v>
      </c>
      <c r="P143" s="27" t="s">
        <v>90</v>
      </c>
      <c r="Q143" s="27" t="s">
        <v>100</v>
      </c>
      <c r="R143" s="33">
        <v>90045</v>
      </c>
      <c r="S143" s="34">
        <v>42016</v>
      </c>
      <c r="T143" s="34">
        <v>42016</v>
      </c>
      <c r="U143" s="29">
        <v>109.836</v>
      </c>
      <c r="V143" s="26">
        <v>37</v>
      </c>
      <c r="W143" s="29">
        <v>1939.03</v>
      </c>
      <c r="X143" s="26">
        <v>23877</v>
      </c>
      <c r="Y143" s="35">
        <v>6.25</v>
      </c>
      <c r="Z143" s="1" t="s">
        <v>3013</v>
      </c>
      <c r="AA143" s="36">
        <v>170.91409999999999</v>
      </c>
      <c r="AB143" s="54">
        <v>814.39260000000002</v>
      </c>
      <c r="AC143" s="54">
        <v>30.395605405405401</v>
      </c>
      <c r="AD143" s="36">
        <v>1649.4799</v>
      </c>
    </row>
    <row r="144" spans="1:30" s="37" customFormat="1" ht="15.75" customHeight="1" x14ac:dyDescent="0.2">
      <c r="A144" s="26">
        <v>120</v>
      </c>
      <c r="B144" s="27" t="s">
        <v>421</v>
      </c>
      <c r="C144" s="27" t="s">
        <v>38</v>
      </c>
      <c r="D144" s="28">
        <v>0.09</v>
      </c>
      <c r="E144" s="29">
        <v>205.99</v>
      </c>
      <c r="F144" s="29">
        <v>3</v>
      </c>
      <c r="G144" s="30" t="s">
        <v>87</v>
      </c>
      <c r="H144" s="27" t="s">
        <v>94</v>
      </c>
      <c r="I144" s="27" t="s">
        <v>41</v>
      </c>
      <c r="J144" s="27" t="s">
        <v>135</v>
      </c>
      <c r="K144" s="27" t="s">
        <v>73</v>
      </c>
      <c r="L144" s="31" t="s">
        <v>423</v>
      </c>
      <c r="M144" s="32">
        <v>0.57999999999999996</v>
      </c>
      <c r="N144" s="27" t="s">
        <v>33</v>
      </c>
      <c r="O144" s="27" t="s">
        <v>60</v>
      </c>
      <c r="P144" s="27" t="s">
        <v>146</v>
      </c>
      <c r="Q144" s="27" t="s">
        <v>181</v>
      </c>
      <c r="R144" s="33">
        <v>84041</v>
      </c>
      <c r="S144" s="34">
        <v>42016</v>
      </c>
      <c r="T144" s="34">
        <v>42018</v>
      </c>
      <c r="U144" s="29">
        <v>1179.0237</v>
      </c>
      <c r="V144" s="26">
        <v>10</v>
      </c>
      <c r="W144" s="29">
        <v>1708.73</v>
      </c>
      <c r="X144" s="26">
        <v>86520</v>
      </c>
      <c r="Y144" s="35">
        <v>205.9</v>
      </c>
      <c r="Z144" s="1" t="s">
        <v>3013</v>
      </c>
      <c r="AA144" s="36">
        <v>185.39100000000002</v>
      </c>
      <c r="AB144" s="54">
        <v>717.66660000000013</v>
      </c>
      <c r="AC144" s="54">
        <v>99.106339999999989</v>
      </c>
      <c r="AD144" s="36">
        <v>341.31529999999998</v>
      </c>
    </row>
    <row r="145" spans="1:30" s="37" customFormat="1" ht="15.75" customHeight="1" x14ac:dyDescent="0.2">
      <c r="A145" s="26">
        <v>1636</v>
      </c>
      <c r="B145" s="27" t="s">
        <v>428</v>
      </c>
      <c r="C145" s="27" t="s">
        <v>38</v>
      </c>
      <c r="D145" s="28">
        <v>0.04</v>
      </c>
      <c r="E145" s="29">
        <v>136.97999999999999</v>
      </c>
      <c r="F145" s="29">
        <v>24.49</v>
      </c>
      <c r="G145" s="30" t="s">
        <v>87</v>
      </c>
      <c r="H145" s="27" t="s">
        <v>71</v>
      </c>
      <c r="I145" s="27" t="s">
        <v>29</v>
      </c>
      <c r="J145" s="27" t="s">
        <v>126</v>
      </c>
      <c r="K145" s="27" t="s">
        <v>65</v>
      </c>
      <c r="L145" s="31" t="s">
        <v>429</v>
      </c>
      <c r="M145" s="32">
        <v>0.59</v>
      </c>
      <c r="N145" s="27" t="s">
        <v>33</v>
      </c>
      <c r="O145" s="27" t="s">
        <v>60</v>
      </c>
      <c r="P145" s="27" t="s">
        <v>90</v>
      </c>
      <c r="Q145" s="27" t="s">
        <v>430</v>
      </c>
      <c r="R145" s="33">
        <v>93905</v>
      </c>
      <c r="S145" s="34">
        <v>42016</v>
      </c>
      <c r="T145" s="34">
        <v>42018</v>
      </c>
      <c r="U145" s="29">
        <v>1127.5497</v>
      </c>
      <c r="V145" s="26">
        <v>12</v>
      </c>
      <c r="W145" s="29">
        <v>1634.13</v>
      </c>
      <c r="X145" s="26">
        <v>89706</v>
      </c>
      <c r="Y145" s="35">
        <v>90.929999999999993</v>
      </c>
      <c r="Z145" s="1" t="s">
        <v>3013</v>
      </c>
      <c r="AA145" s="36">
        <v>65.750399999999999</v>
      </c>
      <c r="AB145" s="54">
        <v>669.99330000000009</v>
      </c>
      <c r="AC145" s="54">
        <v>80.344724999999997</v>
      </c>
      <c r="AD145" s="36">
        <v>416.33990000000017</v>
      </c>
    </row>
    <row r="146" spans="1:30" s="37" customFormat="1" ht="15.75" customHeight="1" x14ac:dyDescent="0.2">
      <c r="A146" s="26">
        <v>1424</v>
      </c>
      <c r="B146" s="27" t="s">
        <v>437</v>
      </c>
      <c r="C146" s="27" t="s">
        <v>48</v>
      </c>
      <c r="D146" s="28">
        <v>0.05</v>
      </c>
      <c r="E146" s="29">
        <v>350.99</v>
      </c>
      <c r="F146" s="29">
        <v>39</v>
      </c>
      <c r="G146" s="30" t="s">
        <v>27</v>
      </c>
      <c r="H146" s="27" t="s">
        <v>71</v>
      </c>
      <c r="I146" s="27" t="s">
        <v>29</v>
      </c>
      <c r="J146" s="27" t="s">
        <v>109</v>
      </c>
      <c r="K146" s="27" t="s">
        <v>58</v>
      </c>
      <c r="L146" s="31" t="s">
        <v>438</v>
      </c>
      <c r="M146" s="32">
        <v>0.55000000000000004</v>
      </c>
      <c r="N146" s="27" t="s">
        <v>33</v>
      </c>
      <c r="O146" s="27" t="s">
        <v>60</v>
      </c>
      <c r="P146" s="27" t="s">
        <v>61</v>
      </c>
      <c r="Q146" s="27" t="s">
        <v>439</v>
      </c>
      <c r="R146" s="33">
        <v>80112</v>
      </c>
      <c r="S146" s="34">
        <v>42016</v>
      </c>
      <c r="T146" s="34">
        <v>42018</v>
      </c>
      <c r="U146" s="29">
        <v>451.28039999999999</v>
      </c>
      <c r="V146" s="26">
        <v>3</v>
      </c>
      <c r="W146" s="29">
        <v>1020.08</v>
      </c>
      <c r="X146" s="26">
        <v>89448</v>
      </c>
      <c r="Y146" s="35">
        <v>20.27</v>
      </c>
      <c r="Z146" s="1" t="s">
        <v>3013</v>
      </c>
      <c r="AA146" s="36">
        <v>52.648500000000006</v>
      </c>
      <c r="AB146" s="54">
        <v>459.036</v>
      </c>
      <c r="AC146" s="54">
        <v>187.0146666666667</v>
      </c>
      <c r="AD146" s="36">
        <v>477.15110000000004</v>
      </c>
    </row>
    <row r="147" spans="1:30" s="37" customFormat="1" ht="15.75" customHeight="1" x14ac:dyDescent="0.2">
      <c r="A147" s="26">
        <v>898</v>
      </c>
      <c r="B147" s="27" t="s">
        <v>424</v>
      </c>
      <c r="C147" s="27" t="s">
        <v>38</v>
      </c>
      <c r="D147" s="28">
        <v>0.04</v>
      </c>
      <c r="E147" s="29">
        <v>90.97</v>
      </c>
      <c r="F147" s="29">
        <v>28</v>
      </c>
      <c r="G147" s="30" t="s">
        <v>27</v>
      </c>
      <c r="H147" s="27" t="s">
        <v>3095</v>
      </c>
      <c r="I147" s="27" t="s">
        <v>41</v>
      </c>
      <c r="J147" s="27" t="s">
        <v>57</v>
      </c>
      <c r="K147" s="27" t="s">
        <v>58</v>
      </c>
      <c r="L147" s="31" t="s">
        <v>425</v>
      </c>
      <c r="M147" s="32">
        <v>0.38</v>
      </c>
      <c r="N147" s="27" t="s">
        <v>33</v>
      </c>
      <c r="O147" s="27" t="s">
        <v>111</v>
      </c>
      <c r="P147" s="27" t="s">
        <v>112</v>
      </c>
      <c r="Q147" s="27" t="s">
        <v>113</v>
      </c>
      <c r="R147" s="33">
        <v>10039</v>
      </c>
      <c r="S147" s="34">
        <v>42016</v>
      </c>
      <c r="T147" s="34">
        <v>42017</v>
      </c>
      <c r="U147" s="29">
        <v>-173.09520000000001</v>
      </c>
      <c r="V147" s="26">
        <v>6</v>
      </c>
      <c r="W147" s="29">
        <v>573.30999999999995</v>
      </c>
      <c r="X147" s="26">
        <v>33635</v>
      </c>
      <c r="Y147" s="35">
        <v>90.929999999999993</v>
      </c>
      <c r="Z147" s="1" t="s">
        <v>3014</v>
      </c>
      <c r="AA147" s="36">
        <v>21.832799999999999</v>
      </c>
      <c r="AB147" s="54">
        <v>355.45219999999995</v>
      </c>
      <c r="AC147" s="54">
        <v>36.309633333333331</v>
      </c>
      <c r="AD147" s="36">
        <v>696.57240000000002</v>
      </c>
    </row>
    <row r="148" spans="1:30" s="37" customFormat="1" ht="15.75" customHeight="1" x14ac:dyDescent="0.2">
      <c r="A148" s="26">
        <v>2489</v>
      </c>
      <c r="B148" s="27" t="s">
        <v>451</v>
      </c>
      <c r="C148" s="27" t="s">
        <v>3094</v>
      </c>
      <c r="D148" s="28">
        <v>7.0000000000000007E-2</v>
      </c>
      <c r="E148" s="29">
        <v>65.989999999999995</v>
      </c>
      <c r="F148" s="29">
        <v>8.8000000000000007</v>
      </c>
      <c r="G148" s="30" t="s">
        <v>39</v>
      </c>
      <c r="H148" s="27" t="s">
        <v>71</v>
      </c>
      <c r="I148" s="27" t="s">
        <v>41</v>
      </c>
      <c r="J148" s="27" t="s">
        <v>135</v>
      </c>
      <c r="K148" s="27" t="s">
        <v>73</v>
      </c>
      <c r="L148" s="31" t="s">
        <v>452</v>
      </c>
      <c r="M148" s="32">
        <v>0.57999999999999996</v>
      </c>
      <c r="N148" s="27" t="s">
        <v>33</v>
      </c>
      <c r="O148" s="27" t="s">
        <v>60</v>
      </c>
      <c r="P148" s="27" t="s">
        <v>90</v>
      </c>
      <c r="Q148" s="27" t="s">
        <v>453</v>
      </c>
      <c r="R148" s="33">
        <v>94521</v>
      </c>
      <c r="S148" s="34">
        <v>42016</v>
      </c>
      <c r="T148" s="34">
        <v>42016</v>
      </c>
      <c r="U148" s="29">
        <v>109.836</v>
      </c>
      <c r="V148" s="26">
        <v>9</v>
      </c>
      <c r="W148" s="29">
        <v>471.66</v>
      </c>
      <c r="X148" s="26">
        <v>86886</v>
      </c>
      <c r="Y148" s="35">
        <v>20.27</v>
      </c>
      <c r="Z148" s="1" t="s">
        <v>3013</v>
      </c>
      <c r="AA148" s="36">
        <v>41.573700000000002</v>
      </c>
      <c r="AB148" s="54">
        <v>198.09720000000004</v>
      </c>
      <c r="AC148" s="54">
        <v>30.395866666666663</v>
      </c>
      <c r="AD148" s="36">
        <v>311.45030000000003</v>
      </c>
    </row>
    <row r="149" spans="1:30" s="37" customFormat="1" ht="15.75" customHeight="1" x14ac:dyDescent="0.2">
      <c r="A149" s="26">
        <v>2491</v>
      </c>
      <c r="B149" s="27" t="s">
        <v>457</v>
      </c>
      <c r="C149" s="27" t="s">
        <v>3094</v>
      </c>
      <c r="D149" s="28">
        <v>0</v>
      </c>
      <c r="E149" s="29">
        <v>10.01</v>
      </c>
      <c r="F149" s="29">
        <v>1.99</v>
      </c>
      <c r="G149" s="30" t="s">
        <v>87</v>
      </c>
      <c r="H149" s="27" t="s">
        <v>71</v>
      </c>
      <c r="I149" s="27" t="s">
        <v>41</v>
      </c>
      <c r="J149" s="27" t="s">
        <v>42</v>
      </c>
      <c r="K149" s="27" t="s">
        <v>43</v>
      </c>
      <c r="L149" s="31" t="s">
        <v>455</v>
      </c>
      <c r="M149" s="32">
        <v>0.41</v>
      </c>
      <c r="N149" s="27" t="s">
        <v>33</v>
      </c>
      <c r="O149" s="27" t="s">
        <v>60</v>
      </c>
      <c r="P149" s="27" t="s">
        <v>90</v>
      </c>
      <c r="Q149" s="27" t="s">
        <v>100</v>
      </c>
      <c r="R149" s="33">
        <v>90045</v>
      </c>
      <c r="S149" s="34">
        <v>42016</v>
      </c>
      <c r="T149" s="34">
        <v>42018</v>
      </c>
      <c r="U149" s="29">
        <v>128.03</v>
      </c>
      <c r="V149" s="26">
        <v>42</v>
      </c>
      <c r="W149" s="29">
        <v>457.63</v>
      </c>
      <c r="X149" s="26">
        <v>23877</v>
      </c>
      <c r="Y149" s="35">
        <v>136.94</v>
      </c>
      <c r="Z149" s="1" t="s">
        <v>3013</v>
      </c>
      <c r="AA149" s="36">
        <v>0</v>
      </c>
      <c r="AB149" s="54">
        <v>270.00170000000003</v>
      </c>
      <c r="AC149" s="54">
        <v>4.4673404761904756</v>
      </c>
      <c r="AD149" s="36">
        <v>327.61</v>
      </c>
    </row>
    <row r="150" spans="1:30" s="37" customFormat="1" ht="15.75" customHeight="1" x14ac:dyDescent="0.2">
      <c r="A150" s="26">
        <v>750</v>
      </c>
      <c r="B150" s="27" t="s">
        <v>448</v>
      </c>
      <c r="C150" s="27" t="s">
        <v>3094</v>
      </c>
      <c r="D150" s="28">
        <v>0.09</v>
      </c>
      <c r="E150" s="29">
        <v>27.75</v>
      </c>
      <c r="F150" s="29">
        <v>19.989999999999998</v>
      </c>
      <c r="G150" s="30" t="s">
        <v>39</v>
      </c>
      <c r="H150" s="27" t="s">
        <v>94</v>
      </c>
      <c r="I150" s="27" t="s">
        <v>49</v>
      </c>
      <c r="J150" s="27" t="s">
        <v>78</v>
      </c>
      <c r="K150" s="27" t="s">
        <v>73</v>
      </c>
      <c r="L150" s="31" t="s">
        <v>449</v>
      </c>
      <c r="M150" s="32">
        <v>0.67</v>
      </c>
      <c r="N150" s="27" t="s">
        <v>33</v>
      </c>
      <c r="O150" s="27" t="s">
        <v>34</v>
      </c>
      <c r="P150" s="27" t="s">
        <v>388</v>
      </c>
      <c r="Q150" s="27" t="s">
        <v>450</v>
      </c>
      <c r="R150" s="33">
        <v>41042</v>
      </c>
      <c r="S150" s="34">
        <v>42016</v>
      </c>
      <c r="T150" s="34">
        <v>42017</v>
      </c>
      <c r="U150" s="29">
        <v>-224.64400000000001</v>
      </c>
      <c r="V150" s="26">
        <v>10</v>
      </c>
      <c r="W150" s="29">
        <v>257.52</v>
      </c>
      <c r="X150" s="26">
        <v>91200</v>
      </c>
      <c r="Y150" s="35">
        <v>6.2</v>
      </c>
      <c r="Z150" s="1" t="s">
        <v>3011</v>
      </c>
      <c r="AA150" s="36">
        <v>24.975000000000001</v>
      </c>
      <c r="AB150" s="54">
        <v>84.981599999999986</v>
      </c>
      <c r="AC150" s="54">
        <v>17.25384</v>
      </c>
      <c r="AD150" s="36">
        <v>437.19899999999996</v>
      </c>
    </row>
    <row r="151" spans="1:30" s="37" customFormat="1" ht="15.75" customHeight="1" x14ac:dyDescent="0.2">
      <c r="A151" s="26">
        <v>899</v>
      </c>
      <c r="B151" s="27" t="s">
        <v>426</v>
      </c>
      <c r="C151" s="27" t="s">
        <v>38</v>
      </c>
      <c r="D151" s="28">
        <v>0.04</v>
      </c>
      <c r="E151" s="29">
        <v>90.97</v>
      </c>
      <c r="F151" s="29">
        <v>28</v>
      </c>
      <c r="G151" s="30" t="s">
        <v>27</v>
      </c>
      <c r="H151" s="27" t="s">
        <v>3095</v>
      </c>
      <c r="I151" s="27" t="s">
        <v>41</v>
      </c>
      <c r="J151" s="27" t="s">
        <v>57</v>
      </c>
      <c r="K151" s="27" t="s">
        <v>58</v>
      </c>
      <c r="L151" s="31" t="s">
        <v>425</v>
      </c>
      <c r="M151" s="32">
        <v>0.38</v>
      </c>
      <c r="N151" s="27" t="s">
        <v>33</v>
      </c>
      <c r="O151" s="27" t="s">
        <v>111</v>
      </c>
      <c r="P151" s="27" t="s">
        <v>320</v>
      </c>
      <c r="Q151" s="27" t="s">
        <v>427</v>
      </c>
      <c r="R151" s="33">
        <v>16602</v>
      </c>
      <c r="S151" s="34">
        <v>42016</v>
      </c>
      <c r="T151" s="34">
        <v>42017</v>
      </c>
      <c r="U151" s="29">
        <v>-173.09520000000001</v>
      </c>
      <c r="V151" s="26">
        <v>2</v>
      </c>
      <c r="W151" s="29">
        <v>191.1</v>
      </c>
      <c r="X151" s="26">
        <v>86263</v>
      </c>
      <c r="Y151" s="35">
        <v>260.89000000000004</v>
      </c>
      <c r="Z151" s="1" t="s">
        <v>3014</v>
      </c>
      <c r="AA151" s="36">
        <v>7.2775999999999996</v>
      </c>
      <c r="AB151" s="54">
        <v>118.482</v>
      </c>
      <c r="AC151" s="54">
        <v>36.308999999999997</v>
      </c>
      <c r="AD151" s="36">
        <v>328.91759999999999</v>
      </c>
    </row>
    <row r="152" spans="1:30" s="37" customFormat="1" ht="15.75" customHeight="1" x14ac:dyDescent="0.2">
      <c r="A152" s="26">
        <v>898</v>
      </c>
      <c r="B152" s="27" t="s">
        <v>424</v>
      </c>
      <c r="C152" s="27" t="s">
        <v>38</v>
      </c>
      <c r="D152" s="28">
        <v>7.0000000000000007E-2</v>
      </c>
      <c r="E152" s="29">
        <v>20.34</v>
      </c>
      <c r="F152" s="29">
        <v>35</v>
      </c>
      <c r="G152" s="30" t="s">
        <v>39</v>
      </c>
      <c r="H152" s="27" t="s">
        <v>3095</v>
      </c>
      <c r="I152" s="27" t="s">
        <v>49</v>
      </c>
      <c r="J152" s="27" t="s">
        <v>78</v>
      </c>
      <c r="K152" s="27" t="s">
        <v>65</v>
      </c>
      <c r="L152" s="31" t="s">
        <v>260</v>
      </c>
      <c r="M152" s="32">
        <v>0.84</v>
      </c>
      <c r="N152" s="27" t="s">
        <v>33</v>
      </c>
      <c r="O152" s="27" t="s">
        <v>111</v>
      </c>
      <c r="P152" s="27" t="s">
        <v>112</v>
      </c>
      <c r="Q152" s="27" t="s">
        <v>113</v>
      </c>
      <c r="R152" s="33">
        <v>10039</v>
      </c>
      <c r="S152" s="34">
        <v>42016</v>
      </c>
      <c r="T152" s="34">
        <v>42017</v>
      </c>
      <c r="U152" s="29">
        <v>-96.16</v>
      </c>
      <c r="V152" s="26">
        <v>5</v>
      </c>
      <c r="W152" s="29">
        <v>140.22999999999999</v>
      </c>
      <c r="X152" s="26">
        <v>33635</v>
      </c>
      <c r="Y152" s="35">
        <v>350.94</v>
      </c>
      <c r="Z152" s="1" t="s">
        <v>3014</v>
      </c>
      <c r="AA152" s="36">
        <v>7.1190000000000007</v>
      </c>
      <c r="AB152" s="54">
        <v>22.436800000000002</v>
      </c>
      <c r="AC152" s="54">
        <v>23.558639999999997</v>
      </c>
      <c r="AD152" s="36">
        <v>194.27099999999999</v>
      </c>
    </row>
    <row r="153" spans="1:30" s="37" customFormat="1" ht="15.75" customHeight="1" x14ac:dyDescent="0.2">
      <c r="A153" s="26">
        <v>2069</v>
      </c>
      <c r="B153" s="27" t="s">
        <v>445</v>
      </c>
      <c r="C153" s="27" t="s">
        <v>116</v>
      </c>
      <c r="D153" s="28">
        <v>0.1</v>
      </c>
      <c r="E153" s="29">
        <v>40.98</v>
      </c>
      <c r="F153" s="29">
        <v>6.5</v>
      </c>
      <c r="G153" s="30" t="s">
        <v>39</v>
      </c>
      <c r="H153" s="27" t="s">
        <v>40</v>
      </c>
      <c r="I153" s="27" t="s">
        <v>41</v>
      </c>
      <c r="J153" s="27" t="s">
        <v>42</v>
      </c>
      <c r="K153" s="27" t="s">
        <v>73</v>
      </c>
      <c r="L153" s="31" t="s">
        <v>446</v>
      </c>
      <c r="M153" s="32">
        <v>0.74</v>
      </c>
      <c r="N153" s="27" t="s">
        <v>33</v>
      </c>
      <c r="O153" s="27" t="s">
        <v>34</v>
      </c>
      <c r="P153" s="27" t="s">
        <v>388</v>
      </c>
      <c r="Q153" s="27" t="s">
        <v>447</v>
      </c>
      <c r="R153" s="33">
        <v>41075</v>
      </c>
      <c r="S153" s="34">
        <v>42016</v>
      </c>
      <c r="T153" s="34">
        <v>42018</v>
      </c>
      <c r="U153" s="29">
        <v>66.852000000000004</v>
      </c>
      <c r="V153" s="26">
        <v>3</v>
      </c>
      <c r="W153" s="29">
        <v>120.34</v>
      </c>
      <c r="X153" s="26">
        <v>88554</v>
      </c>
      <c r="Y153" s="35">
        <v>8.74</v>
      </c>
      <c r="Z153" s="1" t="s">
        <v>3011</v>
      </c>
      <c r="AA153" s="36">
        <v>12.294</v>
      </c>
      <c r="AB153" s="54">
        <v>31.288400000000003</v>
      </c>
      <c r="AC153" s="54">
        <v>29.68386666666667</v>
      </c>
      <c r="AD153" s="36">
        <v>34.694000000000003</v>
      </c>
    </row>
    <row r="154" spans="1:30" s="37" customFormat="1" ht="15.75" customHeight="1" x14ac:dyDescent="0.2">
      <c r="A154" s="26">
        <v>2490</v>
      </c>
      <c r="B154" s="27" t="s">
        <v>454</v>
      </c>
      <c r="C154" s="27" t="s">
        <v>3094</v>
      </c>
      <c r="D154" s="28">
        <v>0</v>
      </c>
      <c r="E154" s="29">
        <v>10.01</v>
      </c>
      <c r="F154" s="29">
        <v>1.99</v>
      </c>
      <c r="G154" s="30" t="s">
        <v>87</v>
      </c>
      <c r="H154" s="27" t="s">
        <v>71</v>
      </c>
      <c r="I154" s="27" t="s">
        <v>41</v>
      </c>
      <c r="J154" s="27" t="s">
        <v>42</v>
      </c>
      <c r="K154" s="27" t="s">
        <v>43</v>
      </c>
      <c r="L154" s="31" t="s">
        <v>455</v>
      </c>
      <c r="M154" s="32">
        <v>0.41</v>
      </c>
      <c r="N154" s="27" t="s">
        <v>33</v>
      </c>
      <c r="O154" s="27" t="s">
        <v>60</v>
      </c>
      <c r="P154" s="27" t="s">
        <v>90</v>
      </c>
      <c r="Q154" s="27" t="s">
        <v>456</v>
      </c>
      <c r="R154" s="33">
        <v>92627</v>
      </c>
      <c r="S154" s="34">
        <v>42016</v>
      </c>
      <c r="T154" s="34">
        <v>42018</v>
      </c>
      <c r="U154" s="29">
        <v>82.703400000000002</v>
      </c>
      <c r="V154" s="26">
        <v>11</v>
      </c>
      <c r="W154" s="29">
        <v>119.86</v>
      </c>
      <c r="X154" s="26">
        <v>86886</v>
      </c>
      <c r="Y154" s="35">
        <v>1.96</v>
      </c>
      <c r="Z154" s="1" t="s">
        <v>3013</v>
      </c>
      <c r="AA154" s="36">
        <v>0</v>
      </c>
      <c r="AB154" s="54">
        <v>70.717400000000012</v>
      </c>
      <c r="AC154" s="54">
        <v>4.4675090909090907</v>
      </c>
      <c r="AD154" s="36">
        <v>35.166600000000003</v>
      </c>
    </row>
    <row r="155" spans="1:30" s="37" customFormat="1" ht="15.75" customHeight="1" x14ac:dyDescent="0.2">
      <c r="A155" s="26">
        <v>823</v>
      </c>
      <c r="B155" s="27" t="s">
        <v>431</v>
      </c>
      <c r="C155" s="27" t="s">
        <v>48</v>
      </c>
      <c r="D155" s="28">
        <v>0.04</v>
      </c>
      <c r="E155" s="29">
        <v>6.24</v>
      </c>
      <c r="F155" s="29">
        <v>5.22</v>
      </c>
      <c r="G155" s="30" t="s">
        <v>39</v>
      </c>
      <c r="H155" s="27" t="s">
        <v>3095</v>
      </c>
      <c r="I155" s="27" t="s">
        <v>29</v>
      </c>
      <c r="J155" s="27" t="s">
        <v>126</v>
      </c>
      <c r="K155" s="27" t="s">
        <v>73</v>
      </c>
      <c r="L155" s="31" t="s">
        <v>432</v>
      </c>
      <c r="M155" s="32">
        <v>0.6</v>
      </c>
      <c r="N155" s="27" t="s">
        <v>33</v>
      </c>
      <c r="O155" s="27" t="s">
        <v>34</v>
      </c>
      <c r="P155" s="27" t="s">
        <v>400</v>
      </c>
      <c r="Q155" s="27" t="s">
        <v>433</v>
      </c>
      <c r="R155" s="33">
        <v>37167</v>
      </c>
      <c r="S155" s="34">
        <v>42016</v>
      </c>
      <c r="T155" s="34">
        <v>42021</v>
      </c>
      <c r="U155" s="29">
        <v>4.3808999999999996</v>
      </c>
      <c r="V155" s="26">
        <v>13</v>
      </c>
      <c r="W155" s="29">
        <v>80.23</v>
      </c>
      <c r="X155" s="26">
        <v>89257</v>
      </c>
      <c r="Y155" s="35">
        <v>29.88</v>
      </c>
      <c r="Z155" s="1" t="s">
        <v>3011</v>
      </c>
      <c r="AA155" s="36">
        <v>3.2448000000000001</v>
      </c>
      <c r="AB155" s="54">
        <v>32.092000000000006</v>
      </c>
      <c r="AC155" s="54">
        <v>3.702923076923077</v>
      </c>
      <c r="AD155" s="36">
        <v>67.38430000000001</v>
      </c>
    </row>
    <row r="156" spans="1:30" s="37" customFormat="1" ht="15.75" customHeight="1" x14ac:dyDescent="0.2">
      <c r="A156" s="26">
        <v>1424</v>
      </c>
      <c r="B156" s="27" t="s">
        <v>437</v>
      </c>
      <c r="C156" s="27" t="s">
        <v>48</v>
      </c>
      <c r="D156" s="28">
        <v>0</v>
      </c>
      <c r="E156" s="29">
        <v>8.74</v>
      </c>
      <c r="F156" s="29">
        <v>1.39</v>
      </c>
      <c r="G156" s="30" t="s">
        <v>39</v>
      </c>
      <c r="H156" s="27" t="s">
        <v>71</v>
      </c>
      <c r="I156" s="27" t="s">
        <v>49</v>
      </c>
      <c r="J156" s="27" t="s">
        <v>345</v>
      </c>
      <c r="K156" s="27" t="s">
        <v>73</v>
      </c>
      <c r="L156" s="31" t="s">
        <v>440</v>
      </c>
      <c r="M156" s="32">
        <v>0.38</v>
      </c>
      <c r="N156" s="27" t="s">
        <v>33</v>
      </c>
      <c r="O156" s="27" t="s">
        <v>60</v>
      </c>
      <c r="P156" s="27" t="s">
        <v>61</v>
      </c>
      <c r="Q156" s="27" t="s">
        <v>439</v>
      </c>
      <c r="R156" s="33">
        <v>80112</v>
      </c>
      <c r="S156" s="34">
        <v>42016</v>
      </c>
      <c r="T156" s="34">
        <v>42020</v>
      </c>
      <c r="U156" s="29">
        <v>44.988</v>
      </c>
      <c r="V156" s="26">
        <v>7</v>
      </c>
      <c r="W156" s="29">
        <v>65.2</v>
      </c>
      <c r="X156" s="26">
        <v>89448</v>
      </c>
      <c r="Y156" s="35">
        <v>40.879999999999995</v>
      </c>
      <c r="Z156" s="1" t="s">
        <v>3013</v>
      </c>
      <c r="AA156" s="36">
        <v>0</v>
      </c>
      <c r="AB156" s="54">
        <v>40.423999999999999</v>
      </c>
      <c r="AC156" s="54">
        <v>3.5394285714285716</v>
      </c>
      <c r="AD156" s="36">
        <v>18.822000000000003</v>
      </c>
    </row>
    <row r="157" spans="1:30" s="37" customFormat="1" ht="15.75" customHeight="1" x14ac:dyDescent="0.2">
      <c r="A157" s="26">
        <v>120</v>
      </c>
      <c r="B157" s="27" t="s">
        <v>421</v>
      </c>
      <c r="C157" s="27" t="s">
        <v>38</v>
      </c>
      <c r="D157" s="28">
        <v>0.05</v>
      </c>
      <c r="E157" s="29">
        <v>6.3</v>
      </c>
      <c r="F157" s="29">
        <v>0.5</v>
      </c>
      <c r="G157" s="30" t="s">
        <v>39</v>
      </c>
      <c r="H157" s="27" t="s">
        <v>94</v>
      </c>
      <c r="I157" s="27" t="s">
        <v>49</v>
      </c>
      <c r="J157" s="27" t="s">
        <v>152</v>
      </c>
      <c r="K157" s="27" t="s">
        <v>73</v>
      </c>
      <c r="L157" s="31" t="s">
        <v>422</v>
      </c>
      <c r="M157" s="32">
        <v>0.39</v>
      </c>
      <c r="N157" s="27" t="s">
        <v>33</v>
      </c>
      <c r="O157" s="27" t="s">
        <v>60</v>
      </c>
      <c r="P157" s="27" t="s">
        <v>146</v>
      </c>
      <c r="Q157" s="27" t="s">
        <v>181</v>
      </c>
      <c r="R157" s="33">
        <v>84041</v>
      </c>
      <c r="S157" s="34">
        <v>42016</v>
      </c>
      <c r="T157" s="34">
        <v>42017</v>
      </c>
      <c r="U157" s="29">
        <v>41.296500000000002</v>
      </c>
      <c r="V157" s="26">
        <v>10</v>
      </c>
      <c r="W157" s="29">
        <v>59.85</v>
      </c>
      <c r="X157" s="26">
        <v>86520</v>
      </c>
      <c r="Y157" s="35">
        <v>27.66</v>
      </c>
      <c r="Z157" s="1" t="s">
        <v>3013</v>
      </c>
      <c r="AA157" s="36">
        <v>3.15</v>
      </c>
      <c r="AB157" s="54">
        <v>36.508499999999998</v>
      </c>
      <c r="AC157" s="54">
        <v>2.3341500000000002</v>
      </c>
      <c r="AD157" s="36">
        <v>14.903500000000001</v>
      </c>
    </row>
    <row r="158" spans="1:30" s="37" customFormat="1" ht="15.75" customHeight="1" x14ac:dyDescent="0.2">
      <c r="A158" s="26">
        <v>2715</v>
      </c>
      <c r="B158" s="27" t="s">
        <v>442</v>
      </c>
      <c r="C158" s="27" t="s">
        <v>48</v>
      </c>
      <c r="D158" s="28">
        <v>0.01</v>
      </c>
      <c r="E158" s="29">
        <v>29.89</v>
      </c>
      <c r="F158" s="29">
        <v>1.99</v>
      </c>
      <c r="G158" s="30" t="s">
        <v>39</v>
      </c>
      <c r="H158" s="27" t="s">
        <v>94</v>
      </c>
      <c r="I158" s="27" t="s">
        <v>41</v>
      </c>
      <c r="J158" s="27" t="s">
        <v>42</v>
      </c>
      <c r="K158" s="27" t="s">
        <v>43</v>
      </c>
      <c r="L158" s="31" t="s">
        <v>443</v>
      </c>
      <c r="M158" s="32">
        <v>0.5</v>
      </c>
      <c r="N158" s="27" t="s">
        <v>33</v>
      </c>
      <c r="O158" s="27" t="s">
        <v>53</v>
      </c>
      <c r="P158" s="27" t="s">
        <v>289</v>
      </c>
      <c r="Q158" s="27" t="s">
        <v>444</v>
      </c>
      <c r="R158" s="33">
        <v>48911</v>
      </c>
      <c r="S158" s="34">
        <v>42016</v>
      </c>
      <c r="T158" s="34">
        <v>42020</v>
      </c>
      <c r="U158" s="29">
        <v>-74.64</v>
      </c>
      <c r="V158" s="26">
        <v>1</v>
      </c>
      <c r="W158" s="29">
        <v>31.96</v>
      </c>
      <c r="X158" s="26">
        <v>88702</v>
      </c>
      <c r="Y158" s="35">
        <v>65.92</v>
      </c>
      <c r="Z158" s="1" t="s">
        <v>3012</v>
      </c>
      <c r="AA158" s="36">
        <v>0.2989</v>
      </c>
      <c r="AB158" s="54">
        <v>15.98</v>
      </c>
      <c r="AC158" s="54">
        <v>15.98</v>
      </c>
      <c r="AD158" s="36">
        <v>104.31110000000001</v>
      </c>
    </row>
    <row r="159" spans="1:30" s="37" customFormat="1" ht="15.75" customHeight="1" x14ac:dyDescent="0.2">
      <c r="A159" s="26">
        <v>899</v>
      </c>
      <c r="B159" s="27" t="s">
        <v>426</v>
      </c>
      <c r="C159" s="27" t="s">
        <v>38</v>
      </c>
      <c r="D159" s="28">
        <v>7.0000000000000007E-2</v>
      </c>
      <c r="E159" s="29">
        <v>20.34</v>
      </c>
      <c r="F159" s="29">
        <v>35</v>
      </c>
      <c r="G159" s="30" t="s">
        <v>39</v>
      </c>
      <c r="H159" s="27" t="s">
        <v>3095</v>
      </c>
      <c r="I159" s="27" t="s">
        <v>49</v>
      </c>
      <c r="J159" s="27" t="s">
        <v>78</v>
      </c>
      <c r="K159" s="27" t="s">
        <v>65</v>
      </c>
      <c r="L159" s="31" t="s">
        <v>260</v>
      </c>
      <c r="M159" s="32">
        <v>0.84</v>
      </c>
      <c r="N159" s="27" t="s">
        <v>33</v>
      </c>
      <c r="O159" s="27" t="s">
        <v>111</v>
      </c>
      <c r="P159" s="27" t="s">
        <v>320</v>
      </c>
      <c r="Q159" s="27" t="s">
        <v>427</v>
      </c>
      <c r="R159" s="33">
        <v>16602</v>
      </c>
      <c r="S159" s="34">
        <v>42016</v>
      </c>
      <c r="T159" s="34">
        <v>42017</v>
      </c>
      <c r="U159" s="29">
        <v>-96.16</v>
      </c>
      <c r="V159" s="26">
        <v>1</v>
      </c>
      <c r="W159" s="29">
        <v>28.05</v>
      </c>
      <c r="X159" s="26">
        <v>86263</v>
      </c>
      <c r="Y159" s="35">
        <v>10.01</v>
      </c>
      <c r="Z159" s="1" t="s">
        <v>3014</v>
      </c>
      <c r="AA159" s="36">
        <v>1.4238000000000002</v>
      </c>
      <c r="AB159" s="54">
        <v>4.4880000000000013</v>
      </c>
      <c r="AC159" s="54">
        <v>23.562000000000001</v>
      </c>
      <c r="AD159" s="36">
        <v>87.786199999999994</v>
      </c>
    </row>
    <row r="160" spans="1:30" s="37" customFormat="1" ht="15.75" customHeight="1" x14ac:dyDescent="0.2">
      <c r="A160" s="26">
        <v>1424</v>
      </c>
      <c r="B160" s="27" t="s">
        <v>437</v>
      </c>
      <c r="C160" s="27" t="s">
        <v>48</v>
      </c>
      <c r="D160" s="28">
        <v>0.02</v>
      </c>
      <c r="E160" s="29">
        <v>1.98</v>
      </c>
      <c r="F160" s="29">
        <v>0.7</v>
      </c>
      <c r="G160" s="30" t="s">
        <v>39</v>
      </c>
      <c r="H160" s="27" t="s">
        <v>71</v>
      </c>
      <c r="I160" s="27" t="s">
        <v>49</v>
      </c>
      <c r="J160" s="27" t="s">
        <v>176</v>
      </c>
      <c r="K160" s="27" t="s">
        <v>51</v>
      </c>
      <c r="L160" s="31" t="s">
        <v>441</v>
      </c>
      <c r="M160" s="32">
        <v>0.83</v>
      </c>
      <c r="N160" s="27" t="s">
        <v>33</v>
      </c>
      <c r="O160" s="27" t="s">
        <v>60</v>
      </c>
      <c r="P160" s="27" t="s">
        <v>61</v>
      </c>
      <c r="Q160" s="27" t="s">
        <v>439</v>
      </c>
      <c r="R160" s="33">
        <v>80112</v>
      </c>
      <c r="S160" s="34">
        <v>42016</v>
      </c>
      <c r="T160" s="34">
        <v>42020</v>
      </c>
      <c r="U160" s="29">
        <v>-20.732800000000001</v>
      </c>
      <c r="V160" s="26">
        <v>11</v>
      </c>
      <c r="W160" s="29">
        <v>22.59</v>
      </c>
      <c r="X160" s="26">
        <v>89448</v>
      </c>
      <c r="Y160" s="35">
        <v>65.92</v>
      </c>
      <c r="Z160" s="1" t="s">
        <v>3013</v>
      </c>
      <c r="AA160" s="36">
        <v>0.43560000000000004</v>
      </c>
      <c r="AB160" s="54">
        <v>3.8403000000000009</v>
      </c>
      <c r="AC160" s="54">
        <v>1.7045181818181818</v>
      </c>
      <c r="AD160" s="36">
        <v>42.187200000000004</v>
      </c>
    </row>
    <row r="161" spans="1:30" s="37" customFormat="1" ht="15.75" customHeight="1" x14ac:dyDescent="0.2">
      <c r="A161" s="26">
        <v>2776</v>
      </c>
      <c r="B161" s="27" t="s">
        <v>417</v>
      </c>
      <c r="C161" s="27" t="s">
        <v>26</v>
      </c>
      <c r="D161" s="28">
        <v>0.04</v>
      </c>
      <c r="E161" s="29">
        <v>1.68</v>
      </c>
      <c r="F161" s="29">
        <v>1</v>
      </c>
      <c r="G161" s="30" t="s">
        <v>39</v>
      </c>
      <c r="H161" s="27" t="s">
        <v>40</v>
      </c>
      <c r="I161" s="27" t="s">
        <v>49</v>
      </c>
      <c r="J161" s="27" t="s">
        <v>50</v>
      </c>
      <c r="K161" s="27" t="s">
        <v>51</v>
      </c>
      <c r="L161" s="31" t="s">
        <v>420</v>
      </c>
      <c r="M161" s="32">
        <v>0.35</v>
      </c>
      <c r="N161" s="27" t="s">
        <v>33</v>
      </c>
      <c r="O161" s="27" t="s">
        <v>111</v>
      </c>
      <c r="P161" s="27" t="s">
        <v>418</v>
      </c>
      <c r="Q161" s="27" t="s">
        <v>419</v>
      </c>
      <c r="R161" s="33">
        <v>20877</v>
      </c>
      <c r="S161" s="34">
        <v>42016</v>
      </c>
      <c r="T161" s="34">
        <v>42018</v>
      </c>
      <c r="U161" s="29">
        <v>2.0672000000000001</v>
      </c>
      <c r="V161" s="26">
        <v>8</v>
      </c>
      <c r="W161" s="29">
        <v>14.18</v>
      </c>
      <c r="X161" s="26">
        <v>91228</v>
      </c>
      <c r="Y161" s="35">
        <v>10.01</v>
      </c>
      <c r="Z161" s="1" t="s">
        <v>3014</v>
      </c>
      <c r="AA161" s="36">
        <v>0.53759999999999997</v>
      </c>
      <c r="AB161" s="54">
        <v>9.2170000000000005</v>
      </c>
      <c r="AC161" s="54">
        <v>0.6203749999999999</v>
      </c>
      <c r="AD161" s="36">
        <v>10.575199999999999</v>
      </c>
    </row>
    <row r="162" spans="1:30" s="37" customFormat="1" ht="15.75" customHeight="1" x14ac:dyDescent="0.2">
      <c r="A162" s="26">
        <v>3340</v>
      </c>
      <c r="B162" s="27" t="s">
        <v>473</v>
      </c>
      <c r="C162" s="27" t="s">
        <v>116</v>
      </c>
      <c r="D162" s="28">
        <v>0.08</v>
      </c>
      <c r="E162" s="29">
        <v>125.99</v>
      </c>
      <c r="F162" s="29">
        <v>4.2</v>
      </c>
      <c r="G162" s="30" t="s">
        <v>39</v>
      </c>
      <c r="H162" s="27" t="s">
        <v>40</v>
      </c>
      <c r="I162" s="27" t="s">
        <v>41</v>
      </c>
      <c r="J162" s="27" t="s">
        <v>135</v>
      </c>
      <c r="K162" s="27" t="s">
        <v>73</v>
      </c>
      <c r="L162" s="31" t="s">
        <v>474</v>
      </c>
      <c r="M162" s="32">
        <v>0.56999999999999995</v>
      </c>
      <c r="N162" s="27" t="s">
        <v>33</v>
      </c>
      <c r="O162" s="27" t="s">
        <v>60</v>
      </c>
      <c r="P162" s="27" t="s">
        <v>139</v>
      </c>
      <c r="Q162" s="27" t="s">
        <v>475</v>
      </c>
      <c r="R162" s="33">
        <v>97060</v>
      </c>
      <c r="S162" s="34">
        <v>42017</v>
      </c>
      <c r="T162" s="34">
        <v>42018</v>
      </c>
      <c r="U162" s="29">
        <v>989.81190000000004</v>
      </c>
      <c r="V162" s="26">
        <v>14</v>
      </c>
      <c r="W162" s="29">
        <v>1434.51</v>
      </c>
      <c r="X162" s="26">
        <v>85980</v>
      </c>
      <c r="Y162" s="35">
        <v>2.02</v>
      </c>
      <c r="Z162" s="1" t="s">
        <v>3013</v>
      </c>
      <c r="AA162" s="36">
        <v>141.1088</v>
      </c>
      <c r="AB162" s="54">
        <v>616.83930000000009</v>
      </c>
      <c r="AC162" s="54">
        <v>58.405049999999996</v>
      </c>
      <c r="AD162" s="36">
        <v>299.38929999999982</v>
      </c>
    </row>
    <row r="163" spans="1:30" s="37" customFormat="1" ht="15.75" customHeight="1" x14ac:dyDescent="0.2">
      <c r="A163" s="26">
        <v>510</v>
      </c>
      <c r="B163" s="27" t="s">
        <v>461</v>
      </c>
      <c r="C163" s="27" t="s">
        <v>48</v>
      </c>
      <c r="D163" s="28">
        <v>0.02</v>
      </c>
      <c r="E163" s="29">
        <v>48.04</v>
      </c>
      <c r="F163" s="29">
        <v>5.09</v>
      </c>
      <c r="G163" s="30" t="s">
        <v>39</v>
      </c>
      <c r="H163" s="27" t="s">
        <v>94</v>
      </c>
      <c r="I163" s="27" t="s">
        <v>49</v>
      </c>
      <c r="J163" s="27" t="s">
        <v>88</v>
      </c>
      <c r="K163" s="27" t="s">
        <v>73</v>
      </c>
      <c r="L163" s="31" t="s">
        <v>462</v>
      </c>
      <c r="M163" s="32">
        <v>0.37</v>
      </c>
      <c r="N163" s="27" t="s">
        <v>33</v>
      </c>
      <c r="O163" s="27" t="s">
        <v>60</v>
      </c>
      <c r="P163" s="27" t="s">
        <v>90</v>
      </c>
      <c r="Q163" s="27" t="s">
        <v>463</v>
      </c>
      <c r="R163" s="33">
        <v>95336</v>
      </c>
      <c r="S163" s="34">
        <v>42017</v>
      </c>
      <c r="T163" s="34">
        <v>42017</v>
      </c>
      <c r="U163" s="29">
        <v>105.2526</v>
      </c>
      <c r="V163" s="26">
        <v>3</v>
      </c>
      <c r="W163" s="29">
        <v>152.54</v>
      </c>
      <c r="X163" s="26">
        <v>90058</v>
      </c>
      <c r="Y163" s="35">
        <v>48.019999999999996</v>
      </c>
      <c r="Z163" s="1" t="s">
        <v>3013</v>
      </c>
      <c r="AA163" s="36">
        <v>2.8824000000000001</v>
      </c>
      <c r="AB163" s="54">
        <v>96.100200000000001</v>
      </c>
      <c r="AC163" s="54">
        <v>18.813266666666664</v>
      </c>
      <c r="AD163" s="36">
        <v>39.314999999999984</v>
      </c>
    </row>
    <row r="164" spans="1:30" s="37" customFormat="1" ht="15.75" customHeight="1" x14ac:dyDescent="0.2">
      <c r="A164" s="26">
        <v>2369</v>
      </c>
      <c r="B164" s="27" t="s">
        <v>470</v>
      </c>
      <c r="C164" s="27" t="s">
        <v>48</v>
      </c>
      <c r="D164" s="28">
        <v>7.0000000000000007E-2</v>
      </c>
      <c r="E164" s="29">
        <v>5.98</v>
      </c>
      <c r="F164" s="29">
        <v>5.79</v>
      </c>
      <c r="G164" s="30" t="s">
        <v>39</v>
      </c>
      <c r="H164" s="27" t="s">
        <v>40</v>
      </c>
      <c r="I164" s="27" t="s">
        <v>49</v>
      </c>
      <c r="J164" s="27" t="s">
        <v>88</v>
      </c>
      <c r="K164" s="27" t="s">
        <v>73</v>
      </c>
      <c r="L164" s="31" t="s">
        <v>471</v>
      </c>
      <c r="M164" s="32">
        <v>0.36</v>
      </c>
      <c r="N164" s="27" t="s">
        <v>33</v>
      </c>
      <c r="O164" s="27" t="s">
        <v>34</v>
      </c>
      <c r="P164" s="27" t="s">
        <v>123</v>
      </c>
      <c r="Q164" s="27" t="s">
        <v>472</v>
      </c>
      <c r="R164" s="33">
        <v>33024</v>
      </c>
      <c r="S164" s="34">
        <v>42017</v>
      </c>
      <c r="T164" s="34">
        <v>42019</v>
      </c>
      <c r="U164" s="29">
        <v>-41.972700000000003</v>
      </c>
      <c r="V164" s="26">
        <v>13</v>
      </c>
      <c r="W164" s="29">
        <v>77.42</v>
      </c>
      <c r="X164" s="26">
        <v>90408</v>
      </c>
      <c r="Y164" s="35">
        <v>7.9300000000000006</v>
      </c>
      <c r="Z164" s="1" t="s">
        <v>3011</v>
      </c>
      <c r="AA164" s="36">
        <v>5.4418000000000006</v>
      </c>
      <c r="AB164" s="54">
        <v>49.5488</v>
      </c>
      <c r="AC164" s="54">
        <v>2.1439384615384616</v>
      </c>
      <c r="AD164" s="36">
        <v>108.1609</v>
      </c>
    </row>
    <row r="165" spans="1:30" s="37" customFormat="1" ht="15.75" customHeight="1" x14ac:dyDescent="0.2">
      <c r="A165" s="26">
        <v>570</v>
      </c>
      <c r="B165" s="27" t="s">
        <v>464</v>
      </c>
      <c r="C165" s="27" t="s">
        <v>48</v>
      </c>
      <c r="D165" s="28">
        <v>0.06</v>
      </c>
      <c r="E165" s="29">
        <v>7.99</v>
      </c>
      <c r="F165" s="29">
        <v>5.03</v>
      </c>
      <c r="G165" s="30" t="s">
        <v>39</v>
      </c>
      <c r="H165" s="27" t="s">
        <v>40</v>
      </c>
      <c r="I165" s="27" t="s">
        <v>41</v>
      </c>
      <c r="J165" s="27" t="s">
        <v>135</v>
      </c>
      <c r="K165" s="27" t="s">
        <v>144</v>
      </c>
      <c r="L165" s="31" t="s">
        <v>465</v>
      </c>
      <c r="M165" s="32">
        <v>0.6</v>
      </c>
      <c r="N165" s="27" t="s">
        <v>33</v>
      </c>
      <c r="O165" s="27" t="s">
        <v>60</v>
      </c>
      <c r="P165" s="27" t="s">
        <v>296</v>
      </c>
      <c r="Q165" s="27" t="s">
        <v>466</v>
      </c>
      <c r="R165" s="33">
        <v>89015</v>
      </c>
      <c r="S165" s="34">
        <v>42017</v>
      </c>
      <c r="T165" s="34">
        <v>42017</v>
      </c>
      <c r="U165" s="29">
        <v>-122.133</v>
      </c>
      <c r="V165" s="26">
        <v>10</v>
      </c>
      <c r="W165" s="29">
        <v>65.739999999999995</v>
      </c>
      <c r="X165" s="26">
        <v>88881</v>
      </c>
      <c r="Y165" s="35">
        <v>4.4200000000000008</v>
      </c>
      <c r="Z165" s="1" t="s">
        <v>3013</v>
      </c>
      <c r="AA165" s="36">
        <v>4.7939999999999996</v>
      </c>
      <c r="AB165" s="54">
        <v>26.295999999999999</v>
      </c>
      <c r="AC165" s="54">
        <v>3.9443999999999999</v>
      </c>
      <c r="AD165" s="36">
        <v>178.04899999999998</v>
      </c>
    </row>
    <row r="166" spans="1:30" s="37" customFormat="1" ht="15.75" customHeight="1" x14ac:dyDescent="0.2">
      <c r="A166" s="26">
        <v>576</v>
      </c>
      <c r="B166" s="27" t="s">
        <v>467</v>
      </c>
      <c r="C166" s="27" t="s">
        <v>48</v>
      </c>
      <c r="D166" s="28">
        <v>0.06</v>
      </c>
      <c r="E166" s="29">
        <v>4.4800000000000004</v>
      </c>
      <c r="F166" s="29">
        <v>49</v>
      </c>
      <c r="G166" s="30" t="s">
        <v>39</v>
      </c>
      <c r="H166" s="27" t="s">
        <v>94</v>
      </c>
      <c r="I166" s="27" t="s">
        <v>49</v>
      </c>
      <c r="J166" s="27" t="s">
        <v>95</v>
      </c>
      <c r="K166" s="27" t="s">
        <v>65</v>
      </c>
      <c r="L166" s="31" t="s">
        <v>468</v>
      </c>
      <c r="M166" s="32">
        <v>0.6</v>
      </c>
      <c r="N166" s="27" t="s">
        <v>33</v>
      </c>
      <c r="O166" s="27" t="s">
        <v>60</v>
      </c>
      <c r="P166" s="27" t="s">
        <v>90</v>
      </c>
      <c r="Q166" s="27" t="s">
        <v>469</v>
      </c>
      <c r="R166" s="33">
        <v>91767</v>
      </c>
      <c r="S166" s="34">
        <v>42017</v>
      </c>
      <c r="T166" s="34">
        <v>42021</v>
      </c>
      <c r="U166" s="29">
        <v>-566</v>
      </c>
      <c r="V166" s="26">
        <v>4</v>
      </c>
      <c r="W166" s="29">
        <v>32.6</v>
      </c>
      <c r="X166" s="26">
        <v>88645</v>
      </c>
      <c r="Y166" s="35">
        <v>5.91</v>
      </c>
      <c r="Z166" s="1" t="s">
        <v>3013</v>
      </c>
      <c r="AA166" s="36">
        <v>1.0752000000000002</v>
      </c>
      <c r="AB166" s="54">
        <v>13.040000000000001</v>
      </c>
      <c r="AC166" s="54">
        <v>4.8899999999999997</v>
      </c>
      <c r="AD166" s="36">
        <v>548.52480000000003</v>
      </c>
    </row>
    <row r="167" spans="1:30" s="37" customFormat="1" ht="15.75" customHeight="1" x14ac:dyDescent="0.2">
      <c r="A167" s="26">
        <v>2338</v>
      </c>
      <c r="B167" s="27" t="s">
        <v>458</v>
      </c>
      <c r="C167" s="27" t="s">
        <v>26</v>
      </c>
      <c r="D167" s="28">
        <v>0.06</v>
      </c>
      <c r="E167" s="29">
        <v>2.08</v>
      </c>
      <c r="F167" s="29">
        <v>5.33</v>
      </c>
      <c r="G167" s="30" t="s">
        <v>39</v>
      </c>
      <c r="H167" s="27" t="s">
        <v>71</v>
      </c>
      <c r="I167" s="27" t="s">
        <v>29</v>
      </c>
      <c r="J167" s="27" t="s">
        <v>126</v>
      </c>
      <c r="K167" s="27" t="s">
        <v>73</v>
      </c>
      <c r="L167" s="31" t="s">
        <v>459</v>
      </c>
      <c r="M167" s="32">
        <v>0.43</v>
      </c>
      <c r="N167" s="27" t="s">
        <v>33</v>
      </c>
      <c r="O167" s="27" t="s">
        <v>111</v>
      </c>
      <c r="P167" s="27" t="s">
        <v>418</v>
      </c>
      <c r="Q167" s="27" t="s">
        <v>460</v>
      </c>
      <c r="R167" s="33">
        <v>20740</v>
      </c>
      <c r="S167" s="34">
        <v>42017</v>
      </c>
      <c r="T167" s="34">
        <v>42017</v>
      </c>
      <c r="U167" s="29">
        <v>-82.559200000000004</v>
      </c>
      <c r="V167" s="26">
        <v>4</v>
      </c>
      <c r="W167" s="29">
        <v>9.23</v>
      </c>
      <c r="X167" s="26">
        <v>91480</v>
      </c>
      <c r="Y167" s="35">
        <v>125.91</v>
      </c>
      <c r="Z167" s="1" t="s">
        <v>3014</v>
      </c>
      <c r="AA167" s="36">
        <v>0.49919999999999998</v>
      </c>
      <c r="AB167" s="54">
        <v>5.2611000000000008</v>
      </c>
      <c r="AC167" s="54">
        <v>0.99222500000000002</v>
      </c>
      <c r="AD167" s="36">
        <v>85.960000000000008</v>
      </c>
    </row>
    <row r="168" spans="1:30" s="37" customFormat="1" ht="15.75" customHeight="1" x14ac:dyDescent="0.2">
      <c r="A168" s="26">
        <v>3149</v>
      </c>
      <c r="B168" s="27" t="s">
        <v>492</v>
      </c>
      <c r="C168" s="27" t="s">
        <v>116</v>
      </c>
      <c r="D168" s="28">
        <v>0.06</v>
      </c>
      <c r="E168" s="29">
        <v>320.98</v>
      </c>
      <c r="F168" s="29">
        <v>58.95</v>
      </c>
      <c r="G168" s="30" t="s">
        <v>27</v>
      </c>
      <c r="H168" s="27" t="s">
        <v>94</v>
      </c>
      <c r="I168" s="27" t="s">
        <v>29</v>
      </c>
      <c r="J168" s="27" t="s">
        <v>109</v>
      </c>
      <c r="K168" s="27" t="s">
        <v>58</v>
      </c>
      <c r="L168" s="31" t="s">
        <v>493</v>
      </c>
      <c r="M168" s="32">
        <v>0.56999999999999995</v>
      </c>
      <c r="N168" s="27" t="s">
        <v>33</v>
      </c>
      <c r="O168" s="27" t="s">
        <v>60</v>
      </c>
      <c r="P168" s="27" t="s">
        <v>490</v>
      </c>
      <c r="Q168" s="27" t="s">
        <v>494</v>
      </c>
      <c r="R168" s="33">
        <v>83440</v>
      </c>
      <c r="S168" s="34">
        <v>42018</v>
      </c>
      <c r="T168" s="34">
        <v>42020</v>
      </c>
      <c r="U168" s="29">
        <v>971.62199999999996</v>
      </c>
      <c r="V168" s="26">
        <v>6</v>
      </c>
      <c r="W168" s="29">
        <v>1952.43</v>
      </c>
      <c r="X168" s="26">
        <v>89716</v>
      </c>
      <c r="Y168" s="35">
        <v>7.6899999999999995</v>
      </c>
      <c r="Z168" s="1" t="s">
        <v>3013</v>
      </c>
      <c r="AA168" s="36">
        <v>115.5528</v>
      </c>
      <c r="AB168" s="54">
        <v>839.5449000000001</v>
      </c>
      <c r="AC168" s="54">
        <v>185.48085</v>
      </c>
      <c r="AD168" s="36">
        <v>806.30520000000024</v>
      </c>
    </row>
    <row r="169" spans="1:30" s="37" customFormat="1" ht="15.75" customHeight="1" x14ac:dyDescent="0.2">
      <c r="A169" s="26">
        <v>463</v>
      </c>
      <c r="B169" s="27" t="s">
        <v>482</v>
      </c>
      <c r="C169" s="27" t="s">
        <v>48</v>
      </c>
      <c r="D169" s="28">
        <v>7.0000000000000007E-2</v>
      </c>
      <c r="E169" s="29">
        <v>165.2</v>
      </c>
      <c r="F169" s="29">
        <v>19.989999999999998</v>
      </c>
      <c r="G169" s="30" t="s">
        <v>39</v>
      </c>
      <c r="H169" s="27" t="s">
        <v>3095</v>
      </c>
      <c r="I169" s="27" t="s">
        <v>49</v>
      </c>
      <c r="J169" s="27" t="s">
        <v>78</v>
      </c>
      <c r="K169" s="27" t="s">
        <v>73</v>
      </c>
      <c r="L169" s="31" t="s">
        <v>483</v>
      </c>
      <c r="M169" s="32">
        <v>0.59</v>
      </c>
      <c r="N169" s="27" t="s">
        <v>33</v>
      </c>
      <c r="O169" s="27" t="s">
        <v>60</v>
      </c>
      <c r="P169" s="27" t="s">
        <v>90</v>
      </c>
      <c r="Q169" s="27" t="s">
        <v>484</v>
      </c>
      <c r="R169" s="33">
        <v>90069</v>
      </c>
      <c r="S169" s="34">
        <v>42018</v>
      </c>
      <c r="T169" s="34">
        <v>42020</v>
      </c>
      <c r="U169" s="29">
        <v>521.69000000000005</v>
      </c>
      <c r="V169" s="26">
        <v>7</v>
      </c>
      <c r="W169" s="29">
        <v>1081.54</v>
      </c>
      <c r="X169" s="26">
        <v>88061</v>
      </c>
      <c r="Y169" s="35">
        <v>18.869999999999997</v>
      </c>
      <c r="Z169" s="1" t="s">
        <v>3013</v>
      </c>
      <c r="AA169" s="36">
        <v>80.948000000000008</v>
      </c>
      <c r="AB169" s="54">
        <v>443.4314</v>
      </c>
      <c r="AC169" s="54">
        <v>91.158371428571414</v>
      </c>
      <c r="AD169" s="36">
        <v>458.91199999999992</v>
      </c>
    </row>
    <row r="170" spans="1:30" s="37" customFormat="1" ht="15.75" customHeight="1" x14ac:dyDescent="0.2">
      <c r="A170" s="26">
        <v>3225</v>
      </c>
      <c r="B170" s="27" t="s">
        <v>498</v>
      </c>
      <c r="C170" s="27" t="s">
        <v>3094</v>
      </c>
      <c r="D170" s="28">
        <v>0.1</v>
      </c>
      <c r="E170" s="29">
        <v>208.16</v>
      </c>
      <c r="F170" s="29">
        <v>68.02</v>
      </c>
      <c r="G170" s="30" t="s">
        <v>27</v>
      </c>
      <c r="H170" s="27" t="s">
        <v>3095</v>
      </c>
      <c r="I170" s="27" t="s">
        <v>49</v>
      </c>
      <c r="J170" s="27" t="s">
        <v>95</v>
      </c>
      <c r="K170" s="27" t="s">
        <v>58</v>
      </c>
      <c r="L170" s="31" t="s">
        <v>499</v>
      </c>
      <c r="M170" s="32">
        <v>0.57999999999999996</v>
      </c>
      <c r="N170" s="27" t="s">
        <v>33</v>
      </c>
      <c r="O170" s="27" t="s">
        <v>34</v>
      </c>
      <c r="P170" s="27" t="s">
        <v>400</v>
      </c>
      <c r="Q170" s="27" t="s">
        <v>500</v>
      </c>
      <c r="R170" s="33">
        <v>38138</v>
      </c>
      <c r="S170" s="34">
        <v>42018</v>
      </c>
      <c r="T170" s="34">
        <v>42018</v>
      </c>
      <c r="U170" s="29">
        <v>-137.52199999999999</v>
      </c>
      <c r="V170" s="26">
        <v>4</v>
      </c>
      <c r="W170" s="29">
        <v>768.81</v>
      </c>
      <c r="X170" s="26">
        <v>86507</v>
      </c>
      <c r="Y170" s="35">
        <v>115.91</v>
      </c>
      <c r="Z170" s="1" t="s">
        <v>3011</v>
      </c>
      <c r="AA170" s="36">
        <v>83.26400000000001</v>
      </c>
      <c r="AB170" s="54">
        <v>322.90019999999998</v>
      </c>
      <c r="AC170" s="54">
        <v>111.47744999999999</v>
      </c>
      <c r="AD170" s="36">
        <v>755.04799999999989</v>
      </c>
    </row>
    <row r="171" spans="1:30" s="37" customFormat="1" ht="15.75" customHeight="1" x14ac:dyDescent="0.2">
      <c r="A171" s="26">
        <v>1636</v>
      </c>
      <c r="B171" s="27" t="s">
        <v>428</v>
      </c>
      <c r="C171" s="27" t="s">
        <v>26</v>
      </c>
      <c r="D171" s="28">
        <v>0.08</v>
      </c>
      <c r="E171" s="29">
        <v>115.99</v>
      </c>
      <c r="F171" s="29">
        <v>56.14</v>
      </c>
      <c r="G171" s="30" t="s">
        <v>27</v>
      </c>
      <c r="H171" s="27" t="s">
        <v>71</v>
      </c>
      <c r="I171" s="27" t="s">
        <v>41</v>
      </c>
      <c r="J171" s="27" t="s">
        <v>57</v>
      </c>
      <c r="K171" s="27" t="s">
        <v>58</v>
      </c>
      <c r="L171" s="31" t="s">
        <v>480</v>
      </c>
      <c r="M171" s="32">
        <v>0.4</v>
      </c>
      <c r="N171" s="27" t="s">
        <v>33</v>
      </c>
      <c r="O171" s="27" t="s">
        <v>60</v>
      </c>
      <c r="P171" s="27" t="s">
        <v>90</v>
      </c>
      <c r="Q171" s="27" t="s">
        <v>430</v>
      </c>
      <c r="R171" s="33">
        <v>93905</v>
      </c>
      <c r="S171" s="34">
        <v>42018</v>
      </c>
      <c r="T171" s="34">
        <v>42020</v>
      </c>
      <c r="U171" s="29">
        <v>-272.860884</v>
      </c>
      <c r="V171" s="26">
        <v>5</v>
      </c>
      <c r="W171" s="29">
        <v>562.92999999999995</v>
      </c>
      <c r="X171" s="26">
        <v>89704</v>
      </c>
      <c r="Y171" s="35">
        <v>4.2</v>
      </c>
      <c r="Z171" s="1" t="s">
        <v>3013</v>
      </c>
      <c r="AA171" s="36">
        <v>46.396000000000001</v>
      </c>
      <c r="AB171" s="54">
        <v>337.75799999999998</v>
      </c>
      <c r="AC171" s="54">
        <v>45.034399999999998</v>
      </c>
      <c r="AD171" s="36">
        <v>733.25488399999995</v>
      </c>
    </row>
    <row r="172" spans="1:30" s="37" customFormat="1" ht="15.75" customHeight="1" x14ac:dyDescent="0.2">
      <c r="A172" s="26">
        <v>2820</v>
      </c>
      <c r="B172" s="27" t="s">
        <v>495</v>
      </c>
      <c r="C172" s="27" t="s">
        <v>3094</v>
      </c>
      <c r="D172" s="28">
        <v>0.1</v>
      </c>
      <c r="E172" s="29">
        <v>22.01</v>
      </c>
      <c r="F172" s="29">
        <v>5.53</v>
      </c>
      <c r="G172" s="30" t="s">
        <v>39</v>
      </c>
      <c r="H172" s="27" t="s">
        <v>71</v>
      </c>
      <c r="I172" s="27" t="s">
        <v>49</v>
      </c>
      <c r="J172" s="27" t="s">
        <v>50</v>
      </c>
      <c r="K172" s="27" t="s">
        <v>43</v>
      </c>
      <c r="L172" s="31" t="s">
        <v>496</v>
      </c>
      <c r="M172" s="32">
        <v>0.59</v>
      </c>
      <c r="N172" s="27" t="s">
        <v>33</v>
      </c>
      <c r="O172" s="27" t="s">
        <v>53</v>
      </c>
      <c r="P172" s="27" t="s">
        <v>80</v>
      </c>
      <c r="Q172" s="27" t="s">
        <v>497</v>
      </c>
      <c r="R172" s="33">
        <v>63129</v>
      </c>
      <c r="S172" s="34">
        <v>42018</v>
      </c>
      <c r="T172" s="34">
        <v>42019</v>
      </c>
      <c r="U172" s="29">
        <v>31.59</v>
      </c>
      <c r="V172" s="26">
        <v>14</v>
      </c>
      <c r="W172" s="29">
        <v>281.75</v>
      </c>
      <c r="X172" s="26">
        <v>87900</v>
      </c>
      <c r="Y172" s="35">
        <v>165.13</v>
      </c>
      <c r="Z172" s="1" t="s">
        <v>3012</v>
      </c>
      <c r="AA172" s="36">
        <v>30.814</v>
      </c>
      <c r="AB172" s="54">
        <v>115.51750000000001</v>
      </c>
      <c r="AC172" s="54">
        <v>11.873749999999999</v>
      </c>
      <c r="AD172" s="36">
        <v>213.816</v>
      </c>
    </row>
    <row r="173" spans="1:30" s="37" customFormat="1" ht="15.75" customHeight="1" x14ac:dyDescent="0.2">
      <c r="A173" s="26">
        <v>3226</v>
      </c>
      <c r="B173" s="27" t="s">
        <v>501</v>
      </c>
      <c r="C173" s="27" t="s">
        <v>3094</v>
      </c>
      <c r="D173" s="28">
        <v>7.0000000000000007E-2</v>
      </c>
      <c r="E173" s="29">
        <v>90.48</v>
      </c>
      <c r="F173" s="29">
        <v>19.989999999999998</v>
      </c>
      <c r="G173" s="30" t="s">
        <v>39</v>
      </c>
      <c r="H173" s="27" t="s">
        <v>3095</v>
      </c>
      <c r="I173" s="27" t="s">
        <v>49</v>
      </c>
      <c r="J173" s="27" t="s">
        <v>345</v>
      </c>
      <c r="K173" s="27" t="s">
        <v>73</v>
      </c>
      <c r="L173" s="31" t="s">
        <v>502</v>
      </c>
      <c r="M173" s="32">
        <v>0.4</v>
      </c>
      <c r="N173" s="27" t="s">
        <v>33</v>
      </c>
      <c r="O173" s="27" t="s">
        <v>34</v>
      </c>
      <c r="P173" s="27" t="s">
        <v>400</v>
      </c>
      <c r="Q173" s="27" t="s">
        <v>503</v>
      </c>
      <c r="R173" s="33">
        <v>37075</v>
      </c>
      <c r="S173" s="34">
        <v>42018</v>
      </c>
      <c r="T173" s="34">
        <v>42019</v>
      </c>
      <c r="U173" s="29">
        <v>-11.816000000000001</v>
      </c>
      <c r="V173" s="26">
        <v>2</v>
      </c>
      <c r="W173" s="29">
        <v>183.39</v>
      </c>
      <c r="X173" s="26">
        <v>86507</v>
      </c>
      <c r="Y173" s="35">
        <v>6.42</v>
      </c>
      <c r="Z173" s="1" t="s">
        <v>3011</v>
      </c>
      <c r="AA173" s="36">
        <v>12.667200000000001</v>
      </c>
      <c r="AB173" s="54">
        <v>110.03399999999999</v>
      </c>
      <c r="AC173" s="54">
        <v>36.677999999999997</v>
      </c>
      <c r="AD173" s="36">
        <v>162.54879999999997</v>
      </c>
    </row>
    <row r="174" spans="1:30" s="37" customFormat="1" ht="15.75" customHeight="1" x14ac:dyDescent="0.2">
      <c r="A174" s="26">
        <v>3148</v>
      </c>
      <c r="B174" s="27" t="s">
        <v>488</v>
      </c>
      <c r="C174" s="27" t="s">
        <v>116</v>
      </c>
      <c r="D174" s="28">
        <v>0.06</v>
      </c>
      <c r="E174" s="29">
        <v>19.989999999999998</v>
      </c>
      <c r="F174" s="29">
        <v>11.17</v>
      </c>
      <c r="G174" s="30" t="s">
        <v>39</v>
      </c>
      <c r="H174" s="27" t="s">
        <v>94</v>
      </c>
      <c r="I174" s="27" t="s">
        <v>29</v>
      </c>
      <c r="J174" s="27" t="s">
        <v>126</v>
      </c>
      <c r="K174" s="27" t="s">
        <v>65</v>
      </c>
      <c r="L174" s="31" t="s">
        <v>489</v>
      </c>
      <c r="M174" s="32">
        <v>0.6</v>
      </c>
      <c r="N174" s="27" t="s">
        <v>33</v>
      </c>
      <c r="O174" s="27" t="s">
        <v>60</v>
      </c>
      <c r="P174" s="27" t="s">
        <v>490</v>
      </c>
      <c r="Q174" s="27" t="s">
        <v>491</v>
      </c>
      <c r="R174" s="33">
        <v>83854</v>
      </c>
      <c r="S174" s="34">
        <v>42018</v>
      </c>
      <c r="T174" s="34">
        <v>42018</v>
      </c>
      <c r="U174" s="29">
        <v>-66.823599999999999</v>
      </c>
      <c r="V174" s="26">
        <v>7</v>
      </c>
      <c r="W174" s="29">
        <v>139.49</v>
      </c>
      <c r="X174" s="26">
        <v>89716</v>
      </c>
      <c r="Y174" s="35">
        <v>19.93</v>
      </c>
      <c r="Z174" s="1" t="s">
        <v>3013</v>
      </c>
      <c r="AA174" s="36">
        <v>8.3957999999999977</v>
      </c>
      <c r="AB174" s="54">
        <v>55.796000000000006</v>
      </c>
      <c r="AC174" s="54">
        <v>11.956285714285714</v>
      </c>
      <c r="AD174" s="36">
        <v>186.74780000000001</v>
      </c>
    </row>
    <row r="175" spans="1:30" s="37" customFormat="1" ht="15.75" customHeight="1" x14ac:dyDescent="0.2">
      <c r="A175" s="26">
        <v>772</v>
      </c>
      <c r="B175" s="27" t="s">
        <v>476</v>
      </c>
      <c r="C175" s="27" t="s">
        <v>26</v>
      </c>
      <c r="D175" s="28">
        <v>0.1</v>
      </c>
      <c r="E175" s="29">
        <v>18.97</v>
      </c>
      <c r="F175" s="29">
        <v>9.5399999999999991</v>
      </c>
      <c r="G175" s="30" t="s">
        <v>87</v>
      </c>
      <c r="H175" s="27" t="s">
        <v>3095</v>
      </c>
      <c r="I175" s="27" t="s">
        <v>49</v>
      </c>
      <c r="J175" s="27" t="s">
        <v>88</v>
      </c>
      <c r="K175" s="27" t="s">
        <v>73</v>
      </c>
      <c r="L175" s="31" t="s">
        <v>479</v>
      </c>
      <c r="M175" s="32">
        <v>0.37</v>
      </c>
      <c r="N175" s="27" t="s">
        <v>33</v>
      </c>
      <c r="O175" s="27" t="s">
        <v>111</v>
      </c>
      <c r="P175" s="27" t="s">
        <v>320</v>
      </c>
      <c r="Q175" s="27" t="s">
        <v>478</v>
      </c>
      <c r="R175" s="33">
        <v>18103</v>
      </c>
      <c r="S175" s="34">
        <v>42018</v>
      </c>
      <c r="T175" s="34">
        <v>42020</v>
      </c>
      <c r="U175" s="29">
        <v>-9.1636000000000006</v>
      </c>
      <c r="V175" s="26">
        <v>3</v>
      </c>
      <c r="W175" s="29">
        <v>56.73</v>
      </c>
      <c r="X175" s="26">
        <v>88666</v>
      </c>
      <c r="Y175" s="35">
        <v>320.92</v>
      </c>
      <c r="Z175" s="1" t="s">
        <v>3014</v>
      </c>
      <c r="AA175" s="36">
        <v>5.6909999999999998</v>
      </c>
      <c r="AB175" s="54">
        <v>35.739899999999999</v>
      </c>
      <c r="AC175" s="54">
        <v>6.9966999999999997</v>
      </c>
      <c r="AD175" s="36">
        <v>50.662599999999998</v>
      </c>
    </row>
    <row r="176" spans="1:30" s="37" customFormat="1" ht="15.75" customHeight="1" x14ac:dyDescent="0.2">
      <c r="A176" s="26">
        <v>3064</v>
      </c>
      <c r="B176" s="27" t="s">
        <v>485</v>
      </c>
      <c r="C176" s="27" t="s">
        <v>48</v>
      </c>
      <c r="D176" s="28">
        <v>0.03</v>
      </c>
      <c r="E176" s="29">
        <v>6.45</v>
      </c>
      <c r="F176" s="29">
        <v>1.34</v>
      </c>
      <c r="G176" s="30" t="s">
        <v>39</v>
      </c>
      <c r="H176" s="27" t="s">
        <v>40</v>
      </c>
      <c r="I176" s="27" t="s">
        <v>49</v>
      </c>
      <c r="J176" s="27" t="s">
        <v>88</v>
      </c>
      <c r="K176" s="27" t="s">
        <v>51</v>
      </c>
      <c r="L176" s="31" t="s">
        <v>486</v>
      </c>
      <c r="M176" s="32">
        <v>0.36</v>
      </c>
      <c r="N176" s="27" t="s">
        <v>33</v>
      </c>
      <c r="O176" s="27" t="s">
        <v>60</v>
      </c>
      <c r="P176" s="27" t="s">
        <v>67</v>
      </c>
      <c r="Q176" s="27" t="s">
        <v>487</v>
      </c>
      <c r="R176" s="33">
        <v>98503</v>
      </c>
      <c r="S176" s="34">
        <v>42018</v>
      </c>
      <c r="T176" s="34">
        <v>42023</v>
      </c>
      <c r="U176" s="29">
        <v>39.129899999999999</v>
      </c>
      <c r="V176" s="26">
        <v>9</v>
      </c>
      <c r="W176" s="29">
        <v>56.71</v>
      </c>
      <c r="X176" s="26">
        <v>88448</v>
      </c>
      <c r="Y176" s="35">
        <v>21.91</v>
      </c>
      <c r="Z176" s="1" t="s">
        <v>3013</v>
      </c>
      <c r="AA176" s="36">
        <v>1.7415</v>
      </c>
      <c r="AB176" s="54">
        <v>36.294400000000003</v>
      </c>
      <c r="AC176" s="54">
        <v>2.2683999999999997</v>
      </c>
      <c r="AD176" s="36">
        <v>14.498599999999996</v>
      </c>
    </row>
    <row r="177" spans="1:30" s="37" customFormat="1" ht="15.75" customHeight="1" x14ac:dyDescent="0.2">
      <c r="A177" s="26">
        <v>772</v>
      </c>
      <c r="B177" s="27" t="s">
        <v>476</v>
      </c>
      <c r="C177" s="27" t="s">
        <v>26</v>
      </c>
      <c r="D177" s="28">
        <v>0.08</v>
      </c>
      <c r="E177" s="29">
        <v>7.77</v>
      </c>
      <c r="F177" s="29">
        <v>9.23</v>
      </c>
      <c r="G177" s="30" t="s">
        <v>39</v>
      </c>
      <c r="H177" s="27" t="s">
        <v>3095</v>
      </c>
      <c r="I177" s="27" t="s">
        <v>49</v>
      </c>
      <c r="J177" s="27" t="s">
        <v>95</v>
      </c>
      <c r="K177" s="27" t="s">
        <v>73</v>
      </c>
      <c r="L177" s="31" t="s">
        <v>477</v>
      </c>
      <c r="M177" s="32">
        <v>0.57999999999999996</v>
      </c>
      <c r="N177" s="27" t="s">
        <v>33</v>
      </c>
      <c r="O177" s="27" t="s">
        <v>111</v>
      </c>
      <c r="P177" s="27" t="s">
        <v>320</v>
      </c>
      <c r="Q177" s="27" t="s">
        <v>478</v>
      </c>
      <c r="R177" s="33">
        <v>18103</v>
      </c>
      <c r="S177" s="34">
        <v>42018</v>
      </c>
      <c r="T177" s="34">
        <v>42020</v>
      </c>
      <c r="U177" s="29">
        <v>-209.25</v>
      </c>
      <c r="V177" s="26">
        <v>7</v>
      </c>
      <c r="W177" s="29">
        <v>56.44</v>
      </c>
      <c r="X177" s="26">
        <v>88666</v>
      </c>
      <c r="Y177" s="35">
        <v>208.06</v>
      </c>
      <c r="Z177" s="1" t="s">
        <v>3014</v>
      </c>
      <c r="AA177" s="36">
        <v>4.3511999999999995</v>
      </c>
      <c r="AB177" s="54">
        <v>23.704800000000002</v>
      </c>
      <c r="AC177" s="54">
        <v>4.6764571428571422</v>
      </c>
      <c r="AD177" s="36">
        <v>252.1088</v>
      </c>
    </row>
    <row r="178" spans="1:30" s="37" customFormat="1" ht="15.75" customHeight="1" x14ac:dyDescent="0.2">
      <c r="A178" s="26">
        <v>1636</v>
      </c>
      <c r="B178" s="27" t="s">
        <v>428</v>
      </c>
      <c r="C178" s="27" t="s">
        <v>26</v>
      </c>
      <c r="D178" s="28">
        <v>0.08</v>
      </c>
      <c r="E178" s="29">
        <v>4.28</v>
      </c>
      <c r="F178" s="29">
        <v>0.94</v>
      </c>
      <c r="G178" s="30" t="s">
        <v>39</v>
      </c>
      <c r="H178" s="27" t="s">
        <v>71</v>
      </c>
      <c r="I178" s="27" t="s">
        <v>49</v>
      </c>
      <c r="J178" s="27" t="s">
        <v>50</v>
      </c>
      <c r="K178" s="27" t="s">
        <v>51</v>
      </c>
      <c r="L178" s="31" t="s">
        <v>481</v>
      </c>
      <c r="M178" s="32">
        <v>0.56000000000000005</v>
      </c>
      <c r="N178" s="27" t="s">
        <v>33</v>
      </c>
      <c r="O178" s="27" t="s">
        <v>60</v>
      </c>
      <c r="P178" s="27" t="s">
        <v>90</v>
      </c>
      <c r="Q178" s="27" t="s">
        <v>430</v>
      </c>
      <c r="R178" s="33">
        <v>93905</v>
      </c>
      <c r="S178" s="34">
        <v>42018</v>
      </c>
      <c r="T178" s="34">
        <v>42021</v>
      </c>
      <c r="U178" s="29">
        <v>10.5792</v>
      </c>
      <c r="V178" s="26">
        <v>7</v>
      </c>
      <c r="W178" s="29">
        <v>29.18</v>
      </c>
      <c r="X178" s="26">
        <v>89704</v>
      </c>
      <c r="Y178" s="35">
        <v>90.410000000000011</v>
      </c>
      <c r="Z178" s="1" t="s">
        <v>3013</v>
      </c>
      <c r="AA178" s="36">
        <v>2.3968000000000003</v>
      </c>
      <c r="AB178" s="54">
        <v>12.839199999999998</v>
      </c>
      <c r="AC178" s="54">
        <v>2.3344</v>
      </c>
      <c r="AD178" s="36">
        <v>15.263999999999999</v>
      </c>
    </row>
    <row r="179" spans="1:30" s="37" customFormat="1" ht="15.75" customHeight="1" x14ac:dyDescent="0.2">
      <c r="A179" s="26">
        <v>3226</v>
      </c>
      <c r="B179" s="27" t="s">
        <v>501</v>
      </c>
      <c r="C179" s="27" t="s">
        <v>3094</v>
      </c>
      <c r="D179" s="28">
        <v>0.02</v>
      </c>
      <c r="E179" s="29">
        <v>4.28</v>
      </c>
      <c r="F179" s="29">
        <v>0.94</v>
      </c>
      <c r="G179" s="30" t="s">
        <v>39</v>
      </c>
      <c r="H179" s="27" t="s">
        <v>3095</v>
      </c>
      <c r="I179" s="27" t="s">
        <v>49</v>
      </c>
      <c r="J179" s="27" t="s">
        <v>50</v>
      </c>
      <c r="K179" s="27" t="s">
        <v>51</v>
      </c>
      <c r="L179" s="31" t="s">
        <v>481</v>
      </c>
      <c r="M179" s="32">
        <v>0.56000000000000005</v>
      </c>
      <c r="N179" s="27" t="s">
        <v>33</v>
      </c>
      <c r="O179" s="27" t="s">
        <v>34</v>
      </c>
      <c r="P179" s="27" t="s">
        <v>400</v>
      </c>
      <c r="Q179" s="27" t="s">
        <v>503</v>
      </c>
      <c r="R179" s="33">
        <v>37075</v>
      </c>
      <c r="S179" s="34">
        <v>42018</v>
      </c>
      <c r="T179" s="34">
        <v>42019</v>
      </c>
      <c r="U179" s="29">
        <v>-105.126</v>
      </c>
      <c r="V179" s="26">
        <v>4</v>
      </c>
      <c r="W179" s="29">
        <v>17.89</v>
      </c>
      <c r="X179" s="26">
        <v>86507</v>
      </c>
      <c r="Y179" s="35">
        <v>9.4700000000000006</v>
      </c>
      <c r="Z179" s="1" t="s">
        <v>3011</v>
      </c>
      <c r="AA179" s="36">
        <v>0.34240000000000004</v>
      </c>
      <c r="AB179" s="54">
        <v>7.871599999999999</v>
      </c>
      <c r="AC179" s="54">
        <v>2.5046000000000004</v>
      </c>
      <c r="AD179" s="36">
        <v>121.73360000000001</v>
      </c>
    </row>
    <row r="180" spans="1:30" s="37" customFormat="1" ht="15.75" customHeight="1" x14ac:dyDescent="0.2">
      <c r="A180" s="26">
        <v>3226</v>
      </c>
      <c r="B180" s="27" t="s">
        <v>501</v>
      </c>
      <c r="C180" s="27" t="s">
        <v>3094</v>
      </c>
      <c r="D180" s="28">
        <v>0.01</v>
      </c>
      <c r="E180" s="29">
        <v>9.48</v>
      </c>
      <c r="F180" s="29">
        <v>7.29</v>
      </c>
      <c r="G180" s="30" t="s">
        <v>87</v>
      </c>
      <c r="H180" s="27" t="s">
        <v>3095</v>
      </c>
      <c r="I180" s="27" t="s">
        <v>29</v>
      </c>
      <c r="J180" s="27" t="s">
        <v>126</v>
      </c>
      <c r="K180" s="27" t="s">
        <v>43</v>
      </c>
      <c r="L180" s="31" t="s">
        <v>504</v>
      </c>
      <c r="M180" s="32">
        <v>0.45</v>
      </c>
      <c r="N180" s="27" t="s">
        <v>33</v>
      </c>
      <c r="O180" s="27" t="s">
        <v>34</v>
      </c>
      <c r="P180" s="27" t="s">
        <v>400</v>
      </c>
      <c r="Q180" s="27" t="s">
        <v>503</v>
      </c>
      <c r="R180" s="33">
        <v>37075</v>
      </c>
      <c r="S180" s="34">
        <v>42018</v>
      </c>
      <c r="T180" s="34">
        <v>42020</v>
      </c>
      <c r="U180" s="29">
        <v>238.93379999999999</v>
      </c>
      <c r="V180" s="26">
        <v>1</v>
      </c>
      <c r="W180" s="29">
        <v>12.9</v>
      </c>
      <c r="X180" s="26">
        <v>86507</v>
      </c>
      <c r="Y180" s="35">
        <v>4.2600000000000007</v>
      </c>
      <c r="Z180" s="1" t="s">
        <v>3011</v>
      </c>
      <c r="AA180" s="36">
        <v>9.4800000000000009E-2</v>
      </c>
      <c r="AB180" s="54">
        <v>7.0950000000000006</v>
      </c>
      <c r="AC180" s="54">
        <v>5.8050000000000006</v>
      </c>
      <c r="AD180" s="36">
        <v>-233.41859999999997</v>
      </c>
    </row>
    <row r="181" spans="1:30" s="37" customFormat="1" ht="15.75" customHeight="1" x14ac:dyDescent="0.2">
      <c r="A181" s="26">
        <v>1212</v>
      </c>
      <c r="B181" s="27" t="s">
        <v>515</v>
      </c>
      <c r="C181" s="27" t="s">
        <v>38</v>
      </c>
      <c r="D181" s="28">
        <v>0.01</v>
      </c>
      <c r="E181" s="29">
        <v>3499.99</v>
      </c>
      <c r="F181" s="29">
        <v>24.49</v>
      </c>
      <c r="G181" s="30" t="s">
        <v>39</v>
      </c>
      <c r="H181" s="27" t="s">
        <v>94</v>
      </c>
      <c r="I181" s="27" t="s">
        <v>41</v>
      </c>
      <c r="J181" s="27" t="s">
        <v>64</v>
      </c>
      <c r="K181" s="27" t="s">
        <v>65</v>
      </c>
      <c r="L181" s="31" t="s">
        <v>518</v>
      </c>
      <c r="M181" s="32">
        <v>0.37</v>
      </c>
      <c r="N181" s="27" t="s">
        <v>33</v>
      </c>
      <c r="O181" s="27" t="s">
        <v>53</v>
      </c>
      <c r="P181" s="27" t="s">
        <v>54</v>
      </c>
      <c r="Q181" s="27" t="s">
        <v>517</v>
      </c>
      <c r="R181" s="33">
        <v>46404</v>
      </c>
      <c r="S181" s="34">
        <v>42019</v>
      </c>
      <c r="T181" s="34">
        <v>42020</v>
      </c>
      <c r="U181" s="29">
        <v>-3061.82</v>
      </c>
      <c r="V181" s="26">
        <v>1</v>
      </c>
      <c r="W181" s="29">
        <v>3672.89</v>
      </c>
      <c r="X181" s="26">
        <v>88600</v>
      </c>
      <c r="Y181" s="35">
        <v>2.79</v>
      </c>
      <c r="Z181" s="1" t="s">
        <v>3012</v>
      </c>
      <c r="AA181" s="36">
        <v>34.999899999999997</v>
      </c>
      <c r="AB181" s="54">
        <v>2313.9207000000001</v>
      </c>
      <c r="AC181" s="54">
        <v>1358.9693</v>
      </c>
      <c r="AD181" s="36">
        <v>6675.2201000000005</v>
      </c>
    </row>
    <row r="182" spans="1:30" s="37" customFormat="1" ht="15.75" customHeight="1" x14ac:dyDescent="0.2">
      <c r="A182" s="26">
        <v>1402</v>
      </c>
      <c r="B182" s="27" t="s">
        <v>531</v>
      </c>
      <c r="C182" s="27" t="s">
        <v>3094</v>
      </c>
      <c r="D182" s="28">
        <v>0</v>
      </c>
      <c r="E182" s="29">
        <v>8.6</v>
      </c>
      <c r="F182" s="29">
        <v>6.19</v>
      </c>
      <c r="G182" s="30" t="s">
        <v>39</v>
      </c>
      <c r="H182" s="27" t="s">
        <v>94</v>
      </c>
      <c r="I182" s="27" t="s">
        <v>49</v>
      </c>
      <c r="J182" s="27" t="s">
        <v>72</v>
      </c>
      <c r="K182" s="27" t="s">
        <v>73</v>
      </c>
      <c r="L182" s="31" t="s">
        <v>532</v>
      </c>
      <c r="M182" s="32">
        <v>0.38</v>
      </c>
      <c r="N182" s="27" t="s">
        <v>33</v>
      </c>
      <c r="O182" s="27" t="s">
        <v>53</v>
      </c>
      <c r="P182" s="27" t="s">
        <v>103</v>
      </c>
      <c r="Q182" s="27" t="s">
        <v>533</v>
      </c>
      <c r="R182" s="33">
        <v>60653</v>
      </c>
      <c r="S182" s="34">
        <v>42019</v>
      </c>
      <c r="T182" s="34">
        <v>42019</v>
      </c>
      <c r="U182" s="29">
        <v>-42.8536</v>
      </c>
      <c r="V182" s="26">
        <v>48</v>
      </c>
      <c r="W182" s="29">
        <v>447.89</v>
      </c>
      <c r="X182" s="26">
        <v>37729</v>
      </c>
      <c r="Y182" s="35">
        <v>2.79</v>
      </c>
      <c r="Z182" s="1" t="s">
        <v>3012</v>
      </c>
      <c r="AA182" s="36">
        <v>0</v>
      </c>
      <c r="AB182" s="54">
        <v>277.6918</v>
      </c>
      <c r="AC182" s="54">
        <v>3.545795833333333</v>
      </c>
      <c r="AD182" s="36">
        <v>484.55359999999996</v>
      </c>
    </row>
    <row r="183" spans="1:30" s="37" customFormat="1" ht="15.75" customHeight="1" x14ac:dyDescent="0.2">
      <c r="A183" s="26">
        <v>428</v>
      </c>
      <c r="B183" s="27" t="s">
        <v>511</v>
      </c>
      <c r="C183" s="27" t="s">
        <v>38</v>
      </c>
      <c r="D183" s="28">
        <v>0.02</v>
      </c>
      <c r="E183" s="29">
        <v>15.28</v>
      </c>
      <c r="F183" s="29">
        <v>1.99</v>
      </c>
      <c r="G183" s="30" t="s">
        <v>39</v>
      </c>
      <c r="H183" s="27" t="s">
        <v>94</v>
      </c>
      <c r="I183" s="27" t="s">
        <v>41</v>
      </c>
      <c r="J183" s="27" t="s">
        <v>42</v>
      </c>
      <c r="K183" s="27" t="s">
        <v>43</v>
      </c>
      <c r="L183" s="31" t="s">
        <v>512</v>
      </c>
      <c r="M183" s="32">
        <v>0.42</v>
      </c>
      <c r="N183" s="27" t="s">
        <v>33</v>
      </c>
      <c r="O183" s="27" t="s">
        <v>60</v>
      </c>
      <c r="P183" s="27" t="s">
        <v>296</v>
      </c>
      <c r="Q183" s="27" t="s">
        <v>513</v>
      </c>
      <c r="R183" s="33">
        <v>89701</v>
      </c>
      <c r="S183" s="34">
        <v>42019</v>
      </c>
      <c r="T183" s="34">
        <v>42020</v>
      </c>
      <c r="U183" s="29">
        <v>163.1574</v>
      </c>
      <c r="V183" s="26">
        <v>15</v>
      </c>
      <c r="W183" s="29">
        <v>236.46</v>
      </c>
      <c r="X183" s="26">
        <v>88479</v>
      </c>
      <c r="Y183" s="35">
        <v>15.26</v>
      </c>
      <c r="Z183" s="1" t="s">
        <v>3013</v>
      </c>
      <c r="AA183" s="36">
        <v>4.5839999999999996</v>
      </c>
      <c r="AB183" s="54">
        <v>137.14680000000001</v>
      </c>
      <c r="AC183" s="54">
        <v>6.6208800000000005</v>
      </c>
      <c r="AD183" s="36">
        <v>66.7286</v>
      </c>
    </row>
    <row r="184" spans="1:30" s="37" customFormat="1" ht="15.75" customHeight="1" x14ac:dyDescent="0.2">
      <c r="A184" s="26">
        <v>1405</v>
      </c>
      <c r="B184" s="27" t="s">
        <v>534</v>
      </c>
      <c r="C184" s="27" t="s">
        <v>3094</v>
      </c>
      <c r="D184" s="28">
        <v>0</v>
      </c>
      <c r="E184" s="29">
        <v>8.6</v>
      </c>
      <c r="F184" s="29">
        <v>6.19</v>
      </c>
      <c r="G184" s="30" t="s">
        <v>39</v>
      </c>
      <c r="H184" s="27" t="s">
        <v>94</v>
      </c>
      <c r="I184" s="27" t="s">
        <v>49</v>
      </c>
      <c r="J184" s="27" t="s">
        <v>72</v>
      </c>
      <c r="K184" s="27" t="s">
        <v>73</v>
      </c>
      <c r="L184" s="31" t="s">
        <v>532</v>
      </c>
      <c r="M184" s="32">
        <v>0.38</v>
      </c>
      <c r="N184" s="27" t="s">
        <v>33</v>
      </c>
      <c r="O184" s="27" t="s">
        <v>53</v>
      </c>
      <c r="P184" s="27" t="s">
        <v>289</v>
      </c>
      <c r="Q184" s="27" t="s">
        <v>535</v>
      </c>
      <c r="R184" s="33">
        <v>49017</v>
      </c>
      <c r="S184" s="34">
        <v>42019</v>
      </c>
      <c r="T184" s="34">
        <v>42019</v>
      </c>
      <c r="U184" s="29">
        <v>-33.211539999999999</v>
      </c>
      <c r="V184" s="26">
        <v>12</v>
      </c>
      <c r="W184" s="29">
        <v>111.97</v>
      </c>
      <c r="X184" s="26">
        <v>86144</v>
      </c>
      <c r="Y184" s="35">
        <v>85.99</v>
      </c>
      <c r="Z184" s="1" t="s">
        <v>3012</v>
      </c>
      <c r="AA184" s="36">
        <v>0</v>
      </c>
      <c r="AB184" s="54">
        <v>69.421400000000006</v>
      </c>
      <c r="AC184" s="54">
        <v>3.5457166666666664</v>
      </c>
      <c r="AD184" s="36">
        <v>138.99153999999999</v>
      </c>
    </row>
    <row r="185" spans="1:30" s="37" customFormat="1" ht="15.75" customHeight="1" x14ac:dyDescent="0.2">
      <c r="A185" s="26">
        <v>3035</v>
      </c>
      <c r="B185" s="27" t="s">
        <v>524</v>
      </c>
      <c r="C185" s="27" t="s">
        <v>48</v>
      </c>
      <c r="D185" s="28">
        <v>0.04</v>
      </c>
      <c r="E185" s="29">
        <v>6.35</v>
      </c>
      <c r="F185" s="29">
        <v>1.02</v>
      </c>
      <c r="G185" s="30" t="s">
        <v>39</v>
      </c>
      <c r="H185" s="27" t="s">
        <v>71</v>
      </c>
      <c r="I185" s="27" t="s">
        <v>49</v>
      </c>
      <c r="J185" s="27" t="s">
        <v>88</v>
      </c>
      <c r="K185" s="27" t="s">
        <v>51</v>
      </c>
      <c r="L185" s="31" t="s">
        <v>527</v>
      </c>
      <c r="M185" s="32">
        <v>0.39</v>
      </c>
      <c r="N185" s="27" t="s">
        <v>33</v>
      </c>
      <c r="O185" s="27" t="s">
        <v>53</v>
      </c>
      <c r="P185" s="27" t="s">
        <v>103</v>
      </c>
      <c r="Q185" s="27" t="s">
        <v>526</v>
      </c>
      <c r="R185" s="33">
        <v>60148</v>
      </c>
      <c r="S185" s="34">
        <v>42019</v>
      </c>
      <c r="T185" s="34">
        <v>42024</v>
      </c>
      <c r="U185" s="29">
        <v>52.170900000000003</v>
      </c>
      <c r="V185" s="26">
        <v>12</v>
      </c>
      <c r="W185" s="29">
        <v>75.61</v>
      </c>
      <c r="X185" s="26">
        <v>89128</v>
      </c>
      <c r="Y185" s="35">
        <v>4.83</v>
      </c>
      <c r="Z185" s="1" t="s">
        <v>3012</v>
      </c>
      <c r="AA185" s="36">
        <v>3.048</v>
      </c>
      <c r="AB185" s="54">
        <v>46.122099999999996</v>
      </c>
      <c r="AC185" s="54">
        <v>2.457325</v>
      </c>
      <c r="AD185" s="36">
        <v>19.371099999999991</v>
      </c>
    </row>
    <row r="186" spans="1:30" s="37" customFormat="1" ht="15.75" customHeight="1" x14ac:dyDescent="0.2">
      <c r="A186" s="26">
        <v>428</v>
      </c>
      <c r="B186" s="27" t="s">
        <v>511</v>
      </c>
      <c r="C186" s="27" t="s">
        <v>38</v>
      </c>
      <c r="D186" s="28">
        <v>0</v>
      </c>
      <c r="E186" s="29">
        <v>85.99</v>
      </c>
      <c r="F186" s="29">
        <v>3.3</v>
      </c>
      <c r="G186" s="30" t="s">
        <v>39</v>
      </c>
      <c r="H186" s="27" t="s">
        <v>94</v>
      </c>
      <c r="I186" s="27" t="s">
        <v>41</v>
      </c>
      <c r="J186" s="27" t="s">
        <v>135</v>
      </c>
      <c r="K186" s="27" t="s">
        <v>43</v>
      </c>
      <c r="L186" s="31" t="s">
        <v>514</v>
      </c>
      <c r="M186" s="32">
        <v>0.37</v>
      </c>
      <c r="N186" s="27" t="s">
        <v>33</v>
      </c>
      <c r="O186" s="27" t="s">
        <v>60</v>
      </c>
      <c r="P186" s="27" t="s">
        <v>296</v>
      </c>
      <c r="Q186" s="27" t="s">
        <v>513</v>
      </c>
      <c r="R186" s="33">
        <v>89701</v>
      </c>
      <c r="S186" s="34">
        <v>42019</v>
      </c>
      <c r="T186" s="34">
        <v>42020</v>
      </c>
      <c r="U186" s="29">
        <v>-302.22500000000002</v>
      </c>
      <c r="V186" s="26">
        <v>1</v>
      </c>
      <c r="W186" s="29">
        <v>73.819999999999993</v>
      </c>
      <c r="X186" s="26">
        <v>88479</v>
      </c>
      <c r="Y186" s="35">
        <v>3499.9799999999996</v>
      </c>
      <c r="Z186" s="1" t="s">
        <v>3013</v>
      </c>
      <c r="AA186" s="36">
        <v>0</v>
      </c>
      <c r="AB186" s="54">
        <v>46.506599999999999</v>
      </c>
      <c r="AC186" s="54">
        <v>27.313399999999998</v>
      </c>
      <c r="AD186" s="36">
        <v>372.745</v>
      </c>
    </row>
    <row r="187" spans="1:30" s="37" customFormat="1" ht="15.75" customHeight="1" x14ac:dyDescent="0.2">
      <c r="A187" s="26">
        <v>1212</v>
      </c>
      <c r="B187" s="27" t="s">
        <v>515</v>
      </c>
      <c r="C187" s="27" t="s">
        <v>38</v>
      </c>
      <c r="D187" s="28">
        <v>0.08</v>
      </c>
      <c r="E187" s="29">
        <v>4.91</v>
      </c>
      <c r="F187" s="29">
        <v>4.97</v>
      </c>
      <c r="G187" s="30" t="s">
        <v>39</v>
      </c>
      <c r="H187" s="27" t="s">
        <v>94</v>
      </c>
      <c r="I187" s="27" t="s">
        <v>49</v>
      </c>
      <c r="J187" s="27" t="s">
        <v>72</v>
      </c>
      <c r="K187" s="27" t="s">
        <v>73</v>
      </c>
      <c r="L187" s="31" t="s">
        <v>516</v>
      </c>
      <c r="M187" s="32">
        <v>0.38</v>
      </c>
      <c r="N187" s="27" t="s">
        <v>33</v>
      </c>
      <c r="O187" s="27" t="s">
        <v>53</v>
      </c>
      <c r="P187" s="27" t="s">
        <v>54</v>
      </c>
      <c r="Q187" s="27" t="s">
        <v>517</v>
      </c>
      <c r="R187" s="33">
        <v>46404</v>
      </c>
      <c r="S187" s="34">
        <v>42019</v>
      </c>
      <c r="T187" s="34">
        <v>42020</v>
      </c>
      <c r="U187" s="29">
        <v>-99.762500000000003</v>
      </c>
      <c r="V187" s="26">
        <v>12</v>
      </c>
      <c r="W187" s="29">
        <v>58.95</v>
      </c>
      <c r="X187" s="26">
        <v>88600</v>
      </c>
      <c r="Y187" s="35">
        <v>5.81</v>
      </c>
      <c r="Z187" s="1" t="s">
        <v>3012</v>
      </c>
      <c r="AA187" s="36">
        <v>4.7136000000000005</v>
      </c>
      <c r="AB187" s="54">
        <v>36.548999999999999</v>
      </c>
      <c r="AC187" s="54">
        <v>1.8667500000000001</v>
      </c>
      <c r="AD187" s="36">
        <v>149.02890000000002</v>
      </c>
    </row>
    <row r="188" spans="1:30" s="37" customFormat="1" ht="15.75" customHeight="1" x14ac:dyDescent="0.2">
      <c r="A188" s="26">
        <v>3035</v>
      </c>
      <c r="B188" s="27" t="s">
        <v>524</v>
      </c>
      <c r="C188" s="27" t="s">
        <v>48</v>
      </c>
      <c r="D188" s="28">
        <v>0.01</v>
      </c>
      <c r="E188" s="29">
        <v>4.9800000000000004</v>
      </c>
      <c r="F188" s="29">
        <v>4.75</v>
      </c>
      <c r="G188" s="30" t="s">
        <v>39</v>
      </c>
      <c r="H188" s="27" t="s">
        <v>71</v>
      </c>
      <c r="I188" s="27" t="s">
        <v>49</v>
      </c>
      <c r="J188" s="27" t="s">
        <v>88</v>
      </c>
      <c r="K188" s="27" t="s">
        <v>73</v>
      </c>
      <c r="L188" s="31" t="s">
        <v>525</v>
      </c>
      <c r="M188" s="32">
        <v>0.36</v>
      </c>
      <c r="N188" s="27" t="s">
        <v>33</v>
      </c>
      <c r="O188" s="27" t="s">
        <v>53</v>
      </c>
      <c r="P188" s="27" t="s">
        <v>103</v>
      </c>
      <c r="Q188" s="27" t="s">
        <v>526</v>
      </c>
      <c r="R188" s="33">
        <v>60148</v>
      </c>
      <c r="S188" s="34">
        <v>42019</v>
      </c>
      <c r="T188" s="34">
        <v>42024</v>
      </c>
      <c r="U188" s="29">
        <v>-75.900400000000005</v>
      </c>
      <c r="V188" s="26">
        <v>10</v>
      </c>
      <c r="W188" s="29">
        <v>52.93</v>
      </c>
      <c r="X188" s="26">
        <v>89128</v>
      </c>
      <c r="Y188" s="35">
        <v>8.01</v>
      </c>
      <c r="Z188" s="1" t="s">
        <v>3012</v>
      </c>
      <c r="AA188" s="36">
        <v>0.49800000000000005</v>
      </c>
      <c r="AB188" s="54">
        <v>33.8752</v>
      </c>
      <c r="AC188" s="54">
        <v>1.9054800000000001</v>
      </c>
      <c r="AD188" s="36">
        <v>123.58240000000001</v>
      </c>
    </row>
    <row r="189" spans="1:30" s="37" customFormat="1" ht="15.75" customHeight="1" x14ac:dyDescent="0.2">
      <c r="A189" s="26">
        <v>1632</v>
      </c>
      <c r="B189" s="27" t="s">
        <v>521</v>
      </c>
      <c r="C189" s="27" t="s">
        <v>38</v>
      </c>
      <c r="D189" s="28">
        <v>0.08</v>
      </c>
      <c r="E189" s="29">
        <v>8.09</v>
      </c>
      <c r="F189" s="29">
        <v>7.96</v>
      </c>
      <c r="G189" s="30" t="s">
        <v>87</v>
      </c>
      <c r="H189" s="27" t="s">
        <v>71</v>
      </c>
      <c r="I189" s="27" t="s">
        <v>29</v>
      </c>
      <c r="J189" s="27" t="s">
        <v>126</v>
      </c>
      <c r="K189" s="27" t="s">
        <v>73</v>
      </c>
      <c r="L189" s="31" t="s">
        <v>522</v>
      </c>
      <c r="M189" s="32">
        <v>0.49</v>
      </c>
      <c r="N189" s="27" t="s">
        <v>33</v>
      </c>
      <c r="O189" s="27" t="s">
        <v>34</v>
      </c>
      <c r="P189" s="27" t="s">
        <v>35</v>
      </c>
      <c r="Q189" s="27" t="s">
        <v>523</v>
      </c>
      <c r="R189" s="33">
        <v>39401</v>
      </c>
      <c r="S189" s="34">
        <v>42019</v>
      </c>
      <c r="T189" s="34">
        <v>42020</v>
      </c>
      <c r="U189" s="29">
        <v>15.984</v>
      </c>
      <c r="V189" s="26">
        <v>6</v>
      </c>
      <c r="W189" s="29">
        <v>48.25</v>
      </c>
      <c r="X189" s="26">
        <v>90530</v>
      </c>
      <c r="Y189" s="35">
        <v>4.9700000000000006</v>
      </c>
      <c r="Z189" s="1" t="s">
        <v>3011</v>
      </c>
      <c r="AA189" s="36">
        <v>3.8832</v>
      </c>
      <c r="AB189" s="54">
        <v>24.607500000000002</v>
      </c>
      <c r="AC189" s="54">
        <v>3.9404166666666662</v>
      </c>
      <c r="AD189" s="36">
        <v>20.422800000000002</v>
      </c>
    </row>
    <row r="190" spans="1:30" s="37" customFormat="1" ht="15.75" customHeight="1" x14ac:dyDescent="0.2">
      <c r="A190" s="26">
        <v>2791</v>
      </c>
      <c r="B190" s="27" t="s">
        <v>508</v>
      </c>
      <c r="C190" s="27" t="s">
        <v>26</v>
      </c>
      <c r="D190" s="28">
        <v>0.09</v>
      </c>
      <c r="E190" s="29">
        <v>2.88</v>
      </c>
      <c r="F190" s="29">
        <v>0.7</v>
      </c>
      <c r="G190" s="30" t="s">
        <v>39</v>
      </c>
      <c r="H190" s="27" t="s">
        <v>94</v>
      </c>
      <c r="I190" s="27" t="s">
        <v>49</v>
      </c>
      <c r="J190" s="27" t="s">
        <v>50</v>
      </c>
      <c r="K190" s="27" t="s">
        <v>51</v>
      </c>
      <c r="L190" s="31" t="s">
        <v>509</v>
      </c>
      <c r="M190" s="32">
        <v>0.56000000000000005</v>
      </c>
      <c r="N190" s="27" t="s">
        <v>33</v>
      </c>
      <c r="O190" s="27" t="s">
        <v>53</v>
      </c>
      <c r="P190" s="27" t="s">
        <v>289</v>
      </c>
      <c r="Q190" s="27" t="s">
        <v>510</v>
      </c>
      <c r="R190" s="33">
        <v>48071</v>
      </c>
      <c r="S190" s="34">
        <v>42019</v>
      </c>
      <c r="T190" s="34">
        <v>42019</v>
      </c>
      <c r="U190" s="29">
        <v>4.8499999999999996</v>
      </c>
      <c r="V190" s="26">
        <v>7</v>
      </c>
      <c r="W190" s="29">
        <v>19.29</v>
      </c>
      <c r="X190" s="26">
        <v>88758</v>
      </c>
      <c r="Y190" s="35">
        <v>6.31</v>
      </c>
      <c r="Z190" s="1" t="s">
        <v>3012</v>
      </c>
      <c r="AA190" s="36">
        <v>1.8144</v>
      </c>
      <c r="AB190" s="54">
        <v>8.4875999999999987</v>
      </c>
      <c r="AC190" s="54">
        <v>1.5432000000000001</v>
      </c>
      <c r="AD190" s="36">
        <v>11.925599999999999</v>
      </c>
    </row>
    <row r="191" spans="1:30" s="37" customFormat="1" ht="15.75" customHeight="1" x14ac:dyDescent="0.2">
      <c r="A191" s="26">
        <v>145</v>
      </c>
      <c r="B191" s="27" t="s">
        <v>528</v>
      </c>
      <c r="C191" s="27" t="s">
        <v>116</v>
      </c>
      <c r="D191" s="28">
        <v>0.06</v>
      </c>
      <c r="E191" s="29">
        <v>7.04</v>
      </c>
      <c r="F191" s="29">
        <v>2.17</v>
      </c>
      <c r="G191" s="30" t="s">
        <v>39</v>
      </c>
      <c r="H191" s="27" t="s">
        <v>3095</v>
      </c>
      <c r="I191" s="27" t="s">
        <v>49</v>
      </c>
      <c r="J191" s="27" t="s">
        <v>88</v>
      </c>
      <c r="K191" s="27" t="s">
        <v>51</v>
      </c>
      <c r="L191" s="31" t="s">
        <v>529</v>
      </c>
      <c r="M191" s="32">
        <v>0.38</v>
      </c>
      <c r="N191" s="27" t="s">
        <v>33</v>
      </c>
      <c r="O191" s="27" t="s">
        <v>111</v>
      </c>
      <c r="P191" s="27" t="s">
        <v>320</v>
      </c>
      <c r="Q191" s="27" t="s">
        <v>530</v>
      </c>
      <c r="R191" s="33">
        <v>15122</v>
      </c>
      <c r="S191" s="34">
        <v>42019</v>
      </c>
      <c r="T191" s="34">
        <v>42021</v>
      </c>
      <c r="U191" s="29">
        <v>2.4851999999999999</v>
      </c>
      <c r="V191" s="26">
        <v>2</v>
      </c>
      <c r="W191" s="29">
        <v>14.65</v>
      </c>
      <c r="X191" s="26">
        <v>91086</v>
      </c>
      <c r="Y191" s="35">
        <v>6.98</v>
      </c>
      <c r="Z191" s="1" t="s">
        <v>3014</v>
      </c>
      <c r="AA191" s="36">
        <v>0.8448</v>
      </c>
      <c r="AB191" s="54">
        <v>9.0830000000000002</v>
      </c>
      <c r="AC191" s="54">
        <v>2.7835000000000001</v>
      </c>
      <c r="AD191" s="36">
        <v>9.15</v>
      </c>
    </row>
    <row r="192" spans="1:30" s="37" customFormat="1" ht="15.75" customHeight="1" x14ac:dyDescent="0.2">
      <c r="A192" s="26">
        <v>1213</v>
      </c>
      <c r="B192" s="27" t="s">
        <v>519</v>
      </c>
      <c r="C192" s="27" t="s">
        <v>38</v>
      </c>
      <c r="D192" s="28">
        <v>0.03</v>
      </c>
      <c r="E192" s="29">
        <v>5.84</v>
      </c>
      <c r="F192" s="29">
        <v>1.2</v>
      </c>
      <c r="G192" s="30" t="s">
        <v>39</v>
      </c>
      <c r="H192" s="27" t="s">
        <v>94</v>
      </c>
      <c r="I192" s="27" t="s">
        <v>49</v>
      </c>
      <c r="J192" s="27" t="s">
        <v>50</v>
      </c>
      <c r="K192" s="27" t="s">
        <v>51</v>
      </c>
      <c r="L192" s="31" t="s">
        <v>69</v>
      </c>
      <c r="M192" s="32">
        <v>0.55000000000000004</v>
      </c>
      <c r="N192" s="27" t="s">
        <v>33</v>
      </c>
      <c r="O192" s="27" t="s">
        <v>53</v>
      </c>
      <c r="P192" s="27" t="s">
        <v>54</v>
      </c>
      <c r="Q192" s="27" t="s">
        <v>520</v>
      </c>
      <c r="R192" s="33">
        <v>46530</v>
      </c>
      <c r="S192" s="34">
        <v>42019</v>
      </c>
      <c r="T192" s="34">
        <v>42021</v>
      </c>
      <c r="U192" s="29">
        <v>-0.01</v>
      </c>
      <c r="V192" s="26">
        <v>2</v>
      </c>
      <c r="W192" s="29">
        <v>11.74</v>
      </c>
      <c r="X192" s="26">
        <v>88600</v>
      </c>
      <c r="Y192" s="35">
        <v>8.6</v>
      </c>
      <c r="Z192" s="1" t="s">
        <v>3012</v>
      </c>
      <c r="AA192" s="36">
        <v>0.35039999999999999</v>
      </c>
      <c r="AB192" s="54">
        <v>5.2829999999999995</v>
      </c>
      <c r="AC192" s="54">
        <v>3.2285000000000004</v>
      </c>
      <c r="AD192" s="36">
        <v>10.1996</v>
      </c>
    </row>
    <row r="193" spans="1:30" s="37" customFormat="1" ht="15.75" customHeight="1" x14ac:dyDescent="0.2">
      <c r="A193" s="26">
        <v>152</v>
      </c>
      <c r="B193" s="27" t="s">
        <v>505</v>
      </c>
      <c r="C193" s="27" t="s">
        <v>26</v>
      </c>
      <c r="D193" s="28">
        <v>0.09</v>
      </c>
      <c r="E193" s="29">
        <v>2.88</v>
      </c>
      <c r="F193" s="29">
        <v>0.7</v>
      </c>
      <c r="G193" s="30" t="s">
        <v>39</v>
      </c>
      <c r="H193" s="27" t="s">
        <v>40</v>
      </c>
      <c r="I193" s="27" t="s">
        <v>49</v>
      </c>
      <c r="J193" s="27" t="s">
        <v>50</v>
      </c>
      <c r="K193" s="27" t="s">
        <v>51</v>
      </c>
      <c r="L193" s="31" t="s">
        <v>506</v>
      </c>
      <c r="M193" s="32">
        <v>0.56000000000000005</v>
      </c>
      <c r="N193" s="27" t="s">
        <v>33</v>
      </c>
      <c r="O193" s="27" t="s">
        <v>34</v>
      </c>
      <c r="P193" s="27" t="s">
        <v>400</v>
      </c>
      <c r="Q193" s="27" t="s">
        <v>507</v>
      </c>
      <c r="R193" s="33">
        <v>37918</v>
      </c>
      <c r="S193" s="34">
        <v>42019</v>
      </c>
      <c r="T193" s="34">
        <v>42020</v>
      </c>
      <c r="U193" s="29">
        <v>-172.71799999999999</v>
      </c>
      <c r="V193" s="26">
        <v>2</v>
      </c>
      <c r="W193" s="29">
        <v>5.5</v>
      </c>
      <c r="X193" s="26">
        <v>89520</v>
      </c>
      <c r="Y193" s="35">
        <v>8.6</v>
      </c>
      <c r="Z193" s="1" t="s">
        <v>3011</v>
      </c>
      <c r="AA193" s="36">
        <v>0.51839999999999997</v>
      </c>
      <c r="AB193" s="54">
        <v>2.42</v>
      </c>
      <c r="AC193" s="54">
        <v>1.54</v>
      </c>
      <c r="AD193" s="36">
        <v>176.99959999999999</v>
      </c>
    </row>
    <row r="194" spans="1:30" s="37" customFormat="1" ht="15.75" customHeight="1" x14ac:dyDescent="0.2">
      <c r="A194" s="26">
        <v>667</v>
      </c>
      <c r="B194" s="27" t="s">
        <v>553</v>
      </c>
      <c r="C194" s="27" t="s">
        <v>48</v>
      </c>
      <c r="D194" s="28">
        <v>0.04</v>
      </c>
      <c r="E194" s="29">
        <v>22.72</v>
      </c>
      <c r="F194" s="29">
        <v>8.99</v>
      </c>
      <c r="G194" s="30" t="s">
        <v>39</v>
      </c>
      <c r="H194" s="27" t="s">
        <v>94</v>
      </c>
      <c r="I194" s="27" t="s">
        <v>29</v>
      </c>
      <c r="J194" s="27" t="s">
        <v>126</v>
      </c>
      <c r="K194" s="27" t="s">
        <v>43</v>
      </c>
      <c r="L194" s="31" t="s">
        <v>328</v>
      </c>
      <c r="M194" s="32">
        <v>0.44</v>
      </c>
      <c r="N194" s="27" t="s">
        <v>33</v>
      </c>
      <c r="O194" s="27" t="s">
        <v>53</v>
      </c>
      <c r="P194" s="27" t="s">
        <v>187</v>
      </c>
      <c r="Q194" s="27" t="s">
        <v>554</v>
      </c>
      <c r="R194" s="33">
        <v>75203</v>
      </c>
      <c r="S194" s="34">
        <v>42020</v>
      </c>
      <c r="T194" s="34">
        <v>42024</v>
      </c>
      <c r="U194" s="29">
        <v>70.028000000000006</v>
      </c>
      <c r="V194" s="26">
        <v>37</v>
      </c>
      <c r="W194" s="29">
        <v>832.14</v>
      </c>
      <c r="X194" s="26">
        <v>22147</v>
      </c>
      <c r="Y194" s="35">
        <v>28.39</v>
      </c>
      <c r="Z194" s="1" t="s">
        <v>3012</v>
      </c>
      <c r="AA194" s="36">
        <v>33.625599999999999</v>
      </c>
      <c r="AB194" s="54">
        <v>465.99840000000006</v>
      </c>
      <c r="AC194" s="54">
        <v>9.8957189189189183</v>
      </c>
      <c r="AD194" s="36">
        <v>719.49639999999999</v>
      </c>
    </row>
    <row r="195" spans="1:30" s="37" customFormat="1" ht="15.75" customHeight="1" x14ac:dyDescent="0.2">
      <c r="A195" s="26">
        <v>288</v>
      </c>
      <c r="B195" s="27" t="s">
        <v>536</v>
      </c>
      <c r="C195" s="27" t="s">
        <v>26</v>
      </c>
      <c r="D195" s="28">
        <v>0.08</v>
      </c>
      <c r="E195" s="29">
        <v>65.989999999999995</v>
      </c>
      <c r="F195" s="29">
        <v>4.99</v>
      </c>
      <c r="G195" s="30" t="s">
        <v>87</v>
      </c>
      <c r="H195" s="27" t="s">
        <v>3095</v>
      </c>
      <c r="I195" s="27" t="s">
        <v>41</v>
      </c>
      <c r="J195" s="27" t="s">
        <v>135</v>
      </c>
      <c r="K195" s="27" t="s">
        <v>73</v>
      </c>
      <c r="L195" s="31" t="s">
        <v>539</v>
      </c>
      <c r="M195" s="32">
        <v>0.57999999999999996</v>
      </c>
      <c r="N195" s="27" t="s">
        <v>33</v>
      </c>
      <c r="O195" s="27" t="s">
        <v>53</v>
      </c>
      <c r="P195" s="27" t="s">
        <v>537</v>
      </c>
      <c r="Q195" s="27" t="s">
        <v>538</v>
      </c>
      <c r="R195" s="33">
        <v>67212</v>
      </c>
      <c r="S195" s="34">
        <v>42020</v>
      </c>
      <c r="T195" s="34">
        <v>42022</v>
      </c>
      <c r="U195" s="29">
        <v>496.89</v>
      </c>
      <c r="V195" s="26">
        <v>14</v>
      </c>
      <c r="W195" s="29">
        <v>748.1</v>
      </c>
      <c r="X195" s="26">
        <v>89762</v>
      </c>
      <c r="Y195" s="35">
        <v>65.91</v>
      </c>
      <c r="Z195" s="1" t="s">
        <v>3012</v>
      </c>
      <c r="AA195" s="36">
        <v>73.908799999999985</v>
      </c>
      <c r="AB195" s="54">
        <v>314.20200000000006</v>
      </c>
      <c r="AC195" s="54">
        <v>30.992714285714285</v>
      </c>
      <c r="AD195" s="36">
        <v>172.31119999999999</v>
      </c>
    </row>
    <row r="196" spans="1:30" s="37" customFormat="1" ht="15.75" customHeight="1" x14ac:dyDescent="0.2">
      <c r="A196" s="26">
        <v>3385</v>
      </c>
      <c r="B196" s="27" t="s">
        <v>555</v>
      </c>
      <c r="C196" s="27" t="s">
        <v>48</v>
      </c>
      <c r="D196" s="28">
        <v>0.01</v>
      </c>
      <c r="E196" s="29">
        <v>125.99</v>
      </c>
      <c r="F196" s="29">
        <v>8.99</v>
      </c>
      <c r="G196" s="30" t="s">
        <v>39</v>
      </c>
      <c r="H196" s="27" t="s">
        <v>94</v>
      </c>
      <c r="I196" s="27" t="s">
        <v>41</v>
      </c>
      <c r="J196" s="27" t="s">
        <v>135</v>
      </c>
      <c r="K196" s="27" t="s">
        <v>73</v>
      </c>
      <c r="L196" s="31" t="s">
        <v>353</v>
      </c>
      <c r="M196" s="32">
        <v>0.59</v>
      </c>
      <c r="N196" s="27" t="s">
        <v>33</v>
      </c>
      <c r="O196" s="27" t="s">
        <v>111</v>
      </c>
      <c r="P196" s="27" t="s">
        <v>317</v>
      </c>
      <c r="Q196" s="27" t="s">
        <v>557</v>
      </c>
      <c r="R196" s="33">
        <v>44512</v>
      </c>
      <c r="S196" s="34">
        <v>42020</v>
      </c>
      <c r="T196" s="34">
        <v>42025</v>
      </c>
      <c r="U196" s="29">
        <v>426.46032000000002</v>
      </c>
      <c r="V196" s="26">
        <v>6</v>
      </c>
      <c r="W196" s="29">
        <v>680.65</v>
      </c>
      <c r="X196" s="26">
        <v>88745</v>
      </c>
      <c r="Y196" s="35">
        <v>2.0900000000000003</v>
      </c>
      <c r="Z196" s="1" t="s">
        <v>3014</v>
      </c>
      <c r="AA196" s="36">
        <v>7.5594000000000001</v>
      </c>
      <c r="AB196" s="54">
        <v>279.06650000000002</v>
      </c>
      <c r="AC196" s="54">
        <v>66.930583333333331</v>
      </c>
      <c r="AD196" s="36">
        <v>237.64027999999996</v>
      </c>
    </row>
    <row r="197" spans="1:30" s="37" customFormat="1" ht="15.75" customHeight="1" x14ac:dyDescent="0.2">
      <c r="A197" s="26">
        <v>3036</v>
      </c>
      <c r="B197" s="27" t="s">
        <v>564</v>
      </c>
      <c r="C197" s="27" t="s">
        <v>3094</v>
      </c>
      <c r="D197" s="28">
        <v>0.05</v>
      </c>
      <c r="E197" s="29">
        <v>35.44</v>
      </c>
      <c r="F197" s="29">
        <v>7.5</v>
      </c>
      <c r="G197" s="30" t="s">
        <v>39</v>
      </c>
      <c r="H197" s="27" t="s">
        <v>71</v>
      </c>
      <c r="I197" s="27" t="s">
        <v>49</v>
      </c>
      <c r="J197" s="27" t="s">
        <v>88</v>
      </c>
      <c r="K197" s="27" t="s">
        <v>73</v>
      </c>
      <c r="L197" s="31" t="s">
        <v>567</v>
      </c>
      <c r="M197" s="32">
        <v>0.38</v>
      </c>
      <c r="N197" s="27" t="s">
        <v>33</v>
      </c>
      <c r="O197" s="27" t="s">
        <v>53</v>
      </c>
      <c r="P197" s="27" t="s">
        <v>565</v>
      </c>
      <c r="Q197" s="27" t="s">
        <v>566</v>
      </c>
      <c r="R197" s="33">
        <v>58554</v>
      </c>
      <c r="S197" s="34">
        <v>42020</v>
      </c>
      <c r="T197" s="34">
        <v>42022</v>
      </c>
      <c r="U197" s="29">
        <v>165.88980000000001</v>
      </c>
      <c r="V197" s="26">
        <v>7</v>
      </c>
      <c r="W197" s="29">
        <v>240.42</v>
      </c>
      <c r="X197" s="26">
        <v>89129</v>
      </c>
      <c r="Y197" s="35">
        <v>179.23999999999998</v>
      </c>
      <c r="Z197" s="1" t="s">
        <v>3012</v>
      </c>
      <c r="AA197" s="36">
        <v>12.404</v>
      </c>
      <c r="AB197" s="54">
        <v>149.06039999999999</v>
      </c>
      <c r="AC197" s="54">
        <v>13.051371428571429</v>
      </c>
      <c r="AD197" s="36">
        <v>54.626199999999983</v>
      </c>
    </row>
    <row r="198" spans="1:30" s="37" customFormat="1" ht="15.75" customHeight="1" x14ac:dyDescent="0.2">
      <c r="A198" s="26">
        <v>2924</v>
      </c>
      <c r="B198" s="27" t="s">
        <v>544</v>
      </c>
      <c r="C198" s="27" t="s">
        <v>26</v>
      </c>
      <c r="D198" s="28">
        <v>0.02</v>
      </c>
      <c r="E198" s="29">
        <v>110.98</v>
      </c>
      <c r="F198" s="29">
        <v>13.99</v>
      </c>
      <c r="G198" s="30" t="s">
        <v>39</v>
      </c>
      <c r="H198" s="27" t="s">
        <v>40</v>
      </c>
      <c r="I198" s="27" t="s">
        <v>29</v>
      </c>
      <c r="J198" s="27" t="s">
        <v>126</v>
      </c>
      <c r="K198" s="27" t="s">
        <v>144</v>
      </c>
      <c r="L198" s="31" t="s">
        <v>545</v>
      </c>
      <c r="M198" s="32">
        <v>0.69</v>
      </c>
      <c r="N198" s="27" t="s">
        <v>33</v>
      </c>
      <c r="O198" s="27" t="s">
        <v>111</v>
      </c>
      <c r="P198" s="27" t="s">
        <v>418</v>
      </c>
      <c r="Q198" s="27" t="s">
        <v>546</v>
      </c>
      <c r="R198" s="33">
        <v>20707</v>
      </c>
      <c r="S198" s="34">
        <v>42020</v>
      </c>
      <c r="T198" s="34">
        <v>42022</v>
      </c>
      <c r="U198" s="29">
        <v>-106.3424</v>
      </c>
      <c r="V198" s="26">
        <v>2</v>
      </c>
      <c r="W198" s="29">
        <v>226.53</v>
      </c>
      <c r="X198" s="26">
        <v>86591</v>
      </c>
      <c r="Y198" s="35">
        <v>110.96000000000001</v>
      </c>
      <c r="Z198" s="1" t="s">
        <v>3014</v>
      </c>
      <c r="AA198" s="36">
        <v>4.4392000000000005</v>
      </c>
      <c r="AB198" s="54">
        <v>70.224300000000014</v>
      </c>
      <c r="AC198" s="54">
        <v>78.152850000000001</v>
      </c>
      <c r="AD198" s="36">
        <v>314.44319999999999</v>
      </c>
    </row>
    <row r="199" spans="1:30" s="37" customFormat="1" ht="15.75" customHeight="1" x14ac:dyDescent="0.2">
      <c r="A199" s="26">
        <v>665</v>
      </c>
      <c r="B199" s="27" t="s">
        <v>551</v>
      </c>
      <c r="C199" s="27" t="s">
        <v>48</v>
      </c>
      <c r="D199" s="28">
        <v>0.04</v>
      </c>
      <c r="E199" s="29">
        <v>22.72</v>
      </c>
      <c r="F199" s="29">
        <v>8.99</v>
      </c>
      <c r="G199" s="30" t="s">
        <v>39</v>
      </c>
      <c r="H199" s="27" t="s">
        <v>94</v>
      </c>
      <c r="I199" s="27" t="s">
        <v>29</v>
      </c>
      <c r="J199" s="27" t="s">
        <v>126</v>
      </c>
      <c r="K199" s="27" t="s">
        <v>43</v>
      </c>
      <c r="L199" s="31" t="s">
        <v>328</v>
      </c>
      <c r="M199" s="32">
        <v>0.44</v>
      </c>
      <c r="N199" s="27" t="s">
        <v>33</v>
      </c>
      <c r="O199" s="27" t="s">
        <v>34</v>
      </c>
      <c r="P199" s="27" t="s">
        <v>400</v>
      </c>
      <c r="Q199" s="27" t="s">
        <v>552</v>
      </c>
      <c r="R199" s="33">
        <v>37130</v>
      </c>
      <c r="S199" s="34">
        <v>42020</v>
      </c>
      <c r="T199" s="34">
        <v>42024</v>
      </c>
      <c r="U199" s="29">
        <v>-678.49599999999998</v>
      </c>
      <c r="V199" s="26">
        <v>9</v>
      </c>
      <c r="W199" s="29">
        <v>202.41</v>
      </c>
      <c r="X199" s="26">
        <v>88677</v>
      </c>
      <c r="Y199" s="35">
        <v>8</v>
      </c>
      <c r="Z199" s="1" t="s">
        <v>3011</v>
      </c>
      <c r="AA199" s="36">
        <v>8.1791999999999998</v>
      </c>
      <c r="AB199" s="54">
        <v>113.34960000000001</v>
      </c>
      <c r="AC199" s="54">
        <v>9.8956</v>
      </c>
      <c r="AD199" s="36">
        <v>863.7367999999999</v>
      </c>
    </row>
    <row r="200" spans="1:30" s="37" customFormat="1" ht="15.75" customHeight="1" x14ac:dyDescent="0.2">
      <c r="A200" s="26">
        <v>288</v>
      </c>
      <c r="B200" s="27" t="s">
        <v>536</v>
      </c>
      <c r="C200" s="27" t="s">
        <v>26</v>
      </c>
      <c r="D200" s="28">
        <v>0.09</v>
      </c>
      <c r="E200" s="29">
        <v>28.48</v>
      </c>
      <c r="F200" s="29">
        <v>1.99</v>
      </c>
      <c r="G200" s="30" t="s">
        <v>39</v>
      </c>
      <c r="H200" s="27" t="s">
        <v>3095</v>
      </c>
      <c r="I200" s="27" t="s">
        <v>41</v>
      </c>
      <c r="J200" s="27" t="s">
        <v>42</v>
      </c>
      <c r="K200" s="27" t="s">
        <v>43</v>
      </c>
      <c r="L200" s="31" t="s">
        <v>212</v>
      </c>
      <c r="M200" s="32">
        <v>0.4</v>
      </c>
      <c r="N200" s="27" t="s">
        <v>33</v>
      </c>
      <c r="O200" s="27" t="s">
        <v>53</v>
      </c>
      <c r="P200" s="27" t="s">
        <v>537</v>
      </c>
      <c r="Q200" s="27" t="s">
        <v>538</v>
      </c>
      <c r="R200" s="33">
        <v>67212</v>
      </c>
      <c r="S200" s="34">
        <v>42020</v>
      </c>
      <c r="T200" s="34">
        <v>42023</v>
      </c>
      <c r="U200" s="29">
        <v>132.68700000000001</v>
      </c>
      <c r="V200" s="26">
        <v>7</v>
      </c>
      <c r="W200" s="29">
        <v>192.3</v>
      </c>
      <c r="X200" s="26">
        <v>89762</v>
      </c>
      <c r="Y200" s="35">
        <v>7.34</v>
      </c>
      <c r="Z200" s="1" t="s">
        <v>3012</v>
      </c>
      <c r="AA200" s="36">
        <v>17.942399999999999</v>
      </c>
      <c r="AB200" s="54">
        <v>115.38</v>
      </c>
      <c r="AC200" s="54">
        <v>10.988571428571429</v>
      </c>
      <c r="AD200" s="36">
        <v>39.680599999999998</v>
      </c>
    </row>
    <row r="201" spans="1:30" s="37" customFormat="1" ht="15.75" customHeight="1" x14ac:dyDescent="0.2">
      <c r="A201" s="26">
        <v>1603</v>
      </c>
      <c r="B201" s="27" t="s">
        <v>540</v>
      </c>
      <c r="C201" s="27" t="s">
        <v>26</v>
      </c>
      <c r="D201" s="28">
        <v>0.05</v>
      </c>
      <c r="E201" s="29">
        <v>179.29</v>
      </c>
      <c r="F201" s="29">
        <v>29.21</v>
      </c>
      <c r="G201" s="30" t="s">
        <v>27</v>
      </c>
      <c r="H201" s="27" t="s">
        <v>3095</v>
      </c>
      <c r="I201" s="27" t="s">
        <v>29</v>
      </c>
      <c r="J201" s="27" t="s">
        <v>30</v>
      </c>
      <c r="K201" s="27" t="s">
        <v>31</v>
      </c>
      <c r="L201" s="31" t="s">
        <v>543</v>
      </c>
      <c r="M201" s="32">
        <v>0.76</v>
      </c>
      <c r="N201" s="27" t="s">
        <v>33</v>
      </c>
      <c r="O201" s="27" t="s">
        <v>111</v>
      </c>
      <c r="P201" s="27" t="s">
        <v>112</v>
      </c>
      <c r="Q201" s="27" t="s">
        <v>542</v>
      </c>
      <c r="R201" s="33">
        <v>11598</v>
      </c>
      <c r="S201" s="34">
        <v>42020</v>
      </c>
      <c r="T201" s="34">
        <v>42022</v>
      </c>
      <c r="U201" s="29">
        <v>-537.27977731999999</v>
      </c>
      <c r="V201" s="26">
        <v>1</v>
      </c>
      <c r="W201" s="29">
        <v>186.64</v>
      </c>
      <c r="X201" s="26">
        <v>89679</v>
      </c>
      <c r="Y201" s="35">
        <v>22.68</v>
      </c>
      <c r="Z201" s="1" t="s">
        <v>3014</v>
      </c>
      <c r="AA201" s="36">
        <v>8.9644999999999992</v>
      </c>
      <c r="AB201" s="54">
        <v>44.793599999999998</v>
      </c>
      <c r="AC201" s="54">
        <v>141.84639999999999</v>
      </c>
      <c r="AD201" s="36">
        <v>685.74527732000001</v>
      </c>
    </row>
    <row r="202" spans="1:30" s="37" customFormat="1" ht="15.75" customHeight="1" x14ac:dyDescent="0.2">
      <c r="A202" s="26">
        <v>3036</v>
      </c>
      <c r="B202" s="27" t="s">
        <v>564</v>
      </c>
      <c r="C202" s="27" t="s">
        <v>3094</v>
      </c>
      <c r="D202" s="28">
        <v>0.02</v>
      </c>
      <c r="E202" s="29">
        <v>12.98</v>
      </c>
      <c r="F202" s="29">
        <v>3.14</v>
      </c>
      <c r="G202" s="30" t="s">
        <v>39</v>
      </c>
      <c r="H202" s="27" t="s">
        <v>71</v>
      </c>
      <c r="I202" s="27" t="s">
        <v>49</v>
      </c>
      <c r="J202" s="27" t="s">
        <v>568</v>
      </c>
      <c r="K202" s="27" t="s">
        <v>43</v>
      </c>
      <c r="L202" s="31" t="s">
        <v>569</v>
      </c>
      <c r="M202" s="32">
        <v>0.6</v>
      </c>
      <c r="N202" s="27" t="s">
        <v>33</v>
      </c>
      <c r="O202" s="27" t="s">
        <v>53</v>
      </c>
      <c r="P202" s="27" t="s">
        <v>565</v>
      </c>
      <c r="Q202" s="27" t="s">
        <v>566</v>
      </c>
      <c r="R202" s="33">
        <v>58554</v>
      </c>
      <c r="S202" s="34">
        <v>42020</v>
      </c>
      <c r="T202" s="34">
        <v>42023</v>
      </c>
      <c r="U202" s="29">
        <v>75.010000000000005</v>
      </c>
      <c r="V202" s="26">
        <v>14</v>
      </c>
      <c r="W202" s="29">
        <v>184.4</v>
      </c>
      <c r="X202" s="26">
        <v>89129</v>
      </c>
      <c r="Y202" s="35">
        <v>22.68</v>
      </c>
      <c r="Z202" s="1" t="s">
        <v>3012</v>
      </c>
      <c r="AA202" s="36">
        <v>3.6343999999999999</v>
      </c>
      <c r="AB202" s="54">
        <v>73.760000000000005</v>
      </c>
      <c r="AC202" s="54">
        <v>7.902857142857143</v>
      </c>
      <c r="AD202" s="36">
        <v>102.6156</v>
      </c>
    </row>
    <row r="203" spans="1:30" s="37" customFormat="1" ht="15.75" customHeight="1" x14ac:dyDescent="0.2">
      <c r="A203" s="26">
        <v>1697</v>
      </c>
      <c r="B203" s="27" t="s">
        <v>558</v>
      </c>
      <c r="C203" s="27" t="s">
        <v>116</v>
      </c>
      <c r="D203" s="28">
        <v>0</v>
      </c>
      <c r="E203" s="29">
        <v>13.43</v>
      </c>
      <c r="F203" s="29">
        <v>5.5</v>
      </c>
      <c r="G203" s="30" t="s">
        <v>39</v>
      </c>
      <c r="H203" s="27" t="s">
        <v>71</v>
      </c>
      <c r="I203" s="27" t="s">
        <v>49</v>
      </c>
      <c r="J203" s="27" t="s">
        <v>78</v>
      </c>
      <c r="K203" s="27" t="s">
        <v>73</v>
      </c>
      <c r="L203" s="31" t="s">
        <v>559</v>
      </c>
      <c r="M203" s="32">
        <v>0.56999999999999995</v>
      </c>
      <c r="N203" s="27" t="s">
        <v>33</v>
      </c>
      <c r="O203" s="27" t="s">
        <v>34</v>
      </c>
      <c r="P203" s="27" t="s">
        <v>45</v>
      </c>
      <c r="Q203" s="27" t="s">
        <v>560</v>
      </c>
      <c r="R203" s="33">
        <v>71901</v>
      </c>
      <c r="S203" s="34">
        <v>42020</v>
      </c>
      <c r="T203" s="34">
        <v>42021</v>
      </c>
      <c r="U203" s="29">
        <v>-253.77799999999999</v>
      </c>
      <c r="V203" s="26">
        <v>9</v>
      </c>
      <c r="W203" s="29">
        <v>129.54</v>
      </c>
      <c r="X203" s="26">
        <v>86338</v>
      </c>
      <c r="Y203" s="35">
        <v>2.94</v>
      </c>
      <c r="Z203" s="1" t="s">
        <v>3011</v>
      </c>
      <c r="AA203" s="36">
        <v>0</v>
      </c>
      <c r="AB203" s="54">
        <v>55.702200000000005</v>
      </c>
      <c r="AC203" s="54">
        <v>8.2041999999999984</v>
      </c>
      <c r="AD203" s="36">
        <v>377.81799999999998</v>
      </c>
    </row>
    <row r="204" spans="1:30" s="37" customFormat="1" ht="15.75" customHeight="1" x14ac:dyDescent="0.2">
      <c r="A204" s="26">
        <v>202</v>
      </c>
      <c r="B204" s="27" t="s">
        <v>548</v>
      </c>
      <c r="C204" s="27" t="s">
        <v>38</v>
      </c>
      <c r="D204" s="28">
        <v>0.03</v>
      </c>
      <c r="E204" s="29">
        <v>7.37</v>
      </c>
      <c r="F204" s="29">
        <v>5.53</v>
      </c>
      <c r="G204" s="30" t="s">
        <v>39</v>
      </c>
      <c r="H204" s="27" t="s">
        <v>94</v>
      </c>
      <c r="I204" s="27" t="s">
        <v>41</v>
      </c>
      <c r="J204" s="27" t="s">
        <v>42</v>
      </c>
      <c r="K204" s="27" t="s">
        <v>43</v>
      </c>
      <c r="L204" s="31" t="s">
        <v>549</v>
      </c>
      <c r="M204" s="32">
        <v>0.69</v>
      </c>
      <c r="N204" s="27" t="s">
        <v>33</v>
      </c>
      <c r="O204" s="27" t="s">
        <v>53</v>
      </c>
      <c r="P204" s="27" t="s">
        <v>207</v>
      </c>
      <c r="Q204" s="27" t="s">
        <v>550</v>
      </c>
      <c r="R204" s="33">
        <v>74006</v>
      </c>
      <c r="S204" s="34">
        <v>42020</v>
      </c>
      <c r="T204" s="34">
        <v>42022</v>
      </c>
      <c r="U204" s="29">
        <v>-133.69999999999999</v>
      </c>
      <c r="V204" s="26">
        <v>11</v>
      </c>
      <c r="W204" s="29">
        <v>85.79</v>
      </c>
      <c r="X204" s="26">
        <v>88972</v>
      </c>
      <c r="Y204" s="35">
        <v>125.97999999999999</v>
      </c>
      <c r="Z204" s="1" t="s">
        <v>3012</v>
      </c>
      <c r="AA204" s="36">
        <v>2.4320999999999997</v>
      </c>
      <c r="AB204" s="54">
        <v>26.594900000000006</v>
      </c>
      <c r="AC204" s="54">
        <v>5.3813727272727272</v>
      </c>
      <c r="AD204" s="36">
        <v>211.52789999999999</v>
      </c>
    </row>
    <row r="205" spans="1:30" s="37" customFormat="1" ht="15.75" customHeight="1" x14ac:dyDescent="0.2">
      <c r="A205" s="26">
        <v>2924</v>
      </c>
      <c r="B205" s="27" t="s">
        <v>544</v>
      </c>
      <c r="C205" s="27" t="s">
        <v>26</v>
      </c>
      <c r="D205" s="28">
        <v>0.01</v>
      </c>
      <c r="E205" s="29">
        <v>8.01</v>
      </c>
      <c r="F205" s="29">
        <v>2.87</v>
      </c>
      <c r="G205" s="30" t="s">
        <v>39</v>
      </c>
      <c r="H205" s="27" t="s">
        <v>40</v>
      </c>
      <c r="I205" s="27" t="s">
        <v>49</v>
      </c>
      <c r="J205" s="27" t="s">
        <v>88</v>
      </c>
      <c r="K205" s="27" t="s">
        <v>51</v>
      </c>
      <c r="L205" s="31" t="s">
        <v>547</v>
      </c>
      <c r="M205" s="32">
        <v>0.4</v>
      </c>
      <c r="N205" s="27" t="s">
        <v>33</v>
      </c>
      <c r="O205" s="27" t="s">
        <v>111</v>
      </c>
      <c r="P205" s="27" t="s">
        <v>418</v>
      </c>
      <c r="Q205" s="27" t="s">
        <v>546</v>
      </c>
      <c r="R205" s="33">
        <v>20707</v>
      </c>
      <c r="S205" s="34">
        <v>42020</v>
      </c>
      <c r="T205" s="34">
        <v>42022</v>
      </c>
      <c r="U205" s="29">
        <v>44.976799999999997</v>
      </c>
      <c r="V205" s="26">
        <v>8</v>
      </c>
      <c r="W205" s="29">
        <v>68.650000000000006</v>
      </c>
      <c r="X205" s="26">
        <v>86591</v>
      </c>
      <c r="Y205" s="35">
        <v>13.43</v>
      </c>
      <c r="Z205" s="1" t="s">
        <v>3014</v>
      </c>
      <c r="AA205" s="36">
        <v>0.64080000000000004</v>
      </c>
      <c r="AB205" s="54">
        <v>41.190000000000005</v>
      </c>
      <c r="AC205" s="54">
        <v>3.4325000000000006</v>
      </c>
      <c r="AD205" s="36">
        <v>20.162400000000012</v>
      </c>
    </row>
    <row r="206" spans="1:30" s="37" customFormat="1" ht="15.75" customHeight="1" x14ac:dyDescent="0.2">
      <c r="A206" s="26">
        <v>3036</v>
      </c>
      <c r="B206" s="27" t="s">
        <v>564</v>
      </c>
      <c r="C206" s="27" t="s">
        <v>3094</v>
      </c>
      <c r="D206" s="28">
        <v>0.02</v>
      </c>
      <c r="E206" s="29">
        <v>12.99</v>
      </c>
      <c r="F206" s="29">
        <v>14.37</v>
      </c>
      <c r="G206" s="30" t="s">
        <v>39</v>
      </c>
      <c r="H206" s="27" t="s">
        <v>71</v>
      </c>
      <c r="I206" s="27" t="s">
        <v>29</v>
      </c>
      <c r="J206" s="27" t="s">
        <v>126</v>
      </c>
      <c r="K206" s="27" t="s">
        <v>65</v>
      </c>
      <c r="L206" s="31" t="s">
        <v>406</v>
      </c>
      <c r="M206" s="32">
        <v>0.73</v>
      </c>
      <c r="N206" s="27" t="s">
        <v>33</v>
      </c>
      <c r="O206" s="27" t="s">
        <v>53</v>
      </c>
      <c r="P206" s="27" t="s">
        <v>565</v>
      </c>
      <c r="Q206" s="27" t="s">
        <v>566</v>
      </c>
      <c r="R206" s="33">
        <v>58554</v>
      </c>
      <c r="S206" s="34">
        <v>42020</v>
      </c>
      <c r="T206" s="34">
        <v>42022</v>
      </c>
      <c r="U206" s="29">
        <v>-159.86000000000001</v>
      </c>
      <c r="V206" s="26">
        <v>5</v>
      </c>
      <c r="W206" s="29">
        <v>67.64</v>
      </c>
      <c r="X206" s="26">
        <v>89129</v>
      </c>
      <c r="Y206" s="35">
        <v>5.71</v>
      </c>
      <c r="Z206" s="1" t="s">
        <v>3012</v>
      </c>
      <c r="AA206" s="36">
        <v>1.2990000000000002</v>
      </c>
      <c r="AB206" s="54">
        <v>18.262800000000002</v>
      </c>
      <c r="AC206" s="54">
        <v>9.8754399999999993</v>
      </c>
      <c r="AD206" s="36">
        <v>211.83100000000002</v>
      </c>
    </row>
    <row r="207" spans="1:30" s="37" customFormat="1" ht="15.75" customHeight="1" x14ac:dyDescent="0.2">
      <c r="A207" s="26">
        <v>3133</v>
      </c>
      <c r="B207" s="27" t="s">
        <v>561</v>
      </c>
      <c r="C207" s="27" t="s">
        <v>116</v>
      </c>
      <c r="D207" s="28">
        <v>0.1</v>
      </c>
      <c r="E207" s="29">
        <v>5.81</v>
      </c>
      <c r="F207" s="29">
        <v>8.49</v>
      </c>
      <c r="G207" s="30" t="s">
        <v>39</v>
      </c>
      <c r="H207" s="27" t="s">
        <v>94</v>
      </c>
      <c r="I207" s="27" t="s">
        <v>49</v>
      </c>
      <c r="J207" s="27" t="s">
        <v>72</v>
      </c>
      <c r="K207" s="27" t="s">
        <v>73</v>
      </c>
      <c r="L207" s="31" t="s">
        <v>330</v>
      </c>
      <c r="M207" s="32">
        <v>0.39</v>
      </c>
      <c r="N207" s="27" t="s">
        <v>33</v>
      </c>
      <c r="O207" s="27" t="s">
        <v>53</v>
      </c>
      <c r="P207" s="27" t="s">
        <v>103</v>
      </c>
      <c r="Q207" s="27" t="s">
        <v>562</v>
      </c>
      <c r="R207" s="33">
        <v>60540</v>
      </c>
      <c r="S207" s="34">
        <v>42020</v>
      </c>
      <c r="T207" s="34">
        <v>42021</v>
      </c>
      <c r="U207" s="29">
        <v>-350.43950000000001</v>
      </c>
      <c r="V207" s="26">
        <v>12</v>
      </c>
      <c r="W207" s="29">
        <v>64.959999999999994</v>
      </c>
      <c r="X207" s="26">
        <v>86789</v>
      </c>
      <c r="Y207" s="35">
        <v>1.78</v>
      </c>
      <c r="Z207" s="1" t="s">
        <v>3012</v>
      </c>
      <c r="AA207" s="36">
        <v>6.9719999999999995</v>
      </c>
      <c r="AB207" s="54">
        <v>39.625599999999999</v>
      </c>
      <c r="AC207" s="54">
        <v>2.1112000000000002</v>
      </c>
      <c r="AD207" s="36">
        <v>399.9375</v>
      </c>
    </row>
    <row r="208" spans="1:30" s="37" customFormat="1" ht="15.75" customHeight="1" x14ac:dyDescent="0.2">
      <c r="A208" s="26">
        <v>3133</v>
      </c>
      <c r="B208" s="27" t="s">
        <v>561</v>
      </c>
      <c r="C208" s="27" t="s">
        <v>116</v>
      </c>
      <c r="D208" s="28">
        <v>0.03</v>
      </c>
      <c r="E208" s="29">
        <v>1.81</v>
      </c>
      <c r="F208" s="29">
        <v>0.75</v>
      </c>
      <c r="G208" s="30" t="s">
        <v>39</v>
      </c>
      <c r="H208" s="27" t="s">
        <v>94</v>
      </c>
      <c r="I208" s="27" t="s">
        <v>49</v>
      </c>
      <c r="J208" s="27" t="s">
        <v>176</v>
      </c>
      <c r="K208" s="27" t="s">
        <v>51</v>
      </c>
      <c r="L208" s="31" t="s">
        <v>563</v>
      </c>
      <c r="M208" s="32">
        <v>0.52</v>
      </c>
      <c r="N208" s="27" t="s">
        <v>33</v>
      </c>
      <c r="O208" s="27" t="s">
        <v>53</v>
      </c>
      <c r="P208" s="27" t="s">
        <v>103</v>
      </c>
      <c r="Q208" s="27" t="s">
        <v>562</v>
      </c>
      <c r="R208" s="33">
        <v>60540</v>
      </c>
      <c r="S208" s="34">
        <v>42020</v>
      </c>
      <c r="T208" s="34">
        <v>42021</v>
      </c>
      <c r="U208" s="29">
        <v>4.2027999999999999</v>
      </c>
      <c r="V208" s="26">
        <v>10</v>
      </c>
      <c r="W208" s="29">
        <v>19.14</v>
      </c>
      <c r="X208" s="26">
        <v>86789</v>
      </c>
      <c r="Y208" s="35">
        <v>12.97</v>
      </c>
      <c r="Z208" s="1" t="s">
        <v>3012</v>
      </c>
      <c r="AA208" s="36">
        <v>0.54300000000000004</v>
      </c>
      <c r="AB208" s="54">
        <v>9.1872000000000007</v>
      </c>
      <c r="AC208" s="54">
        <v>0.99528000000000016</v>
      </c>
      <c r="AD208" s="36">
        <v>13.644200000000001</v>
      </c>
    </row>
    <row r="209" spans="1:30" s="37" customFormat="1" ht="15.75" customHeight="1" x14ac:dyDescent="0.2">
      <c r="A209" s="26">
        <v>1603</v>
      </c>
      <c r="B209" s="27" t="s">
        <v>540</v>
      </c>
      <c r="C209" s="27" t="s">
        <v>26</v>
      </c>
      <c r="D209" s="28">
        <v>0.09</v>
      </c>
      <c r="E209" s="29">
        <v>2.1800000000000002</v>
      </c>
      <c r="F209" s="29">
        <v>0.78</v>
      </c>
      <c r="G209" s="30" t="s">
        <v>39</v>
      </c>
      <c r="H209" s="27" t="s">
        <v>3095</v>
      </c>
      <c r="I209" s="27" t="s">
        <v>49</v>
      </c>
      <c r="J209" s="27" t="s">
        <v>176</v>
      </c>
      <c r="K209" s="27" t="s">
        <v>51</v>
      </c>
      <c r="L209" s="31" t="s">
        <v>541</v>
      </c>
      <c r="M209" s="32">
        <v>0.52</v>
      </c>
      <c r="N209" s="27" t="s">
        <v>33</v>
      </c>
      <c r="O209" s="27" t="s">
        <v>111</v>
      </c>
      <c r="P209" s="27" t="s">
        <v>112</v>
      </c>
      <c r="Q209" s="27" t="s">
        <v>542</v>
      </c>
      <c r="R209" s="33">
        <v>11598</v>
      </c>
      <c r="S209" s="34">
        <v>42020</v>
      </c>
      <c r="T209" s="34">
        <v>42022</v>
      </c>
      <c r="U209" s="29">
        <v>2.4548000000000001</v>
      </c>
      <c r="V209" s="26">
        <v>9</v>
      </c>
      <c r="W209" s="29">
        <v>19.12</v>
      </c>
      <c r="X209" s="26">
        <v>89679</v>
      </c>
      <c r="Y209" s="35">
        <v>35.39</v>
      </c>
      <c r="Z209" s="1" t="s">
        <v>3014</v>
      </c>
      <c r="AA209" s="36">
        <v>1.7658</v>
      </c>
      <c r="AB209" s="54">
        <v>9.1776</v>
      </c>
      <c r="AC209" s="54">
        <v>1.1047111111111112</v>
      </c>
      <c r="AD209" s="36">
        <v>14.119400000000001</v>
      </c>
    </row>
    <row r="210" spans="1:30" s="37" customFormat="1" ht="15.75" customHeight="1" x14ac:dyDescent="0.2">
      <c r="A210" s="26">
        <v>3385</v>
      </c>
      <c r="B210" s="27" t="s">
        <v>555</v>
      </c>
      <c r="C210" s="27" t="s">
        <v>48</v>
      </c>
      <c r="D210" s="28">
        <v>0.04</v>
      </c>
      <c r="E210" s="29">
        <v>2.98</v>
      </c>
      <c r="F210" s="29">
        <v>2.0299999999999998</v>
      </c>
      <c r="G210" s="30" t="s">
        <v>87</v>
      </c>
      <c r="H210" s="27" t="s">
        <v>94</v>
      </c>
      <c r="I210" s="27" t="s">
        <v>49</v>
      </c>
      <c r="J210" s="27" t="s">
        <v>50</v>
      </c>
      <c r="K210" s="27" t="s">
        <v>51</v>
      </c>
      <c r="L210" s="31" t="s">
        <v>556</v>
      </c>
      <c r="M210" s="32">
        <v>0.56999999999999995</v>
      </c>
      <c r="N210" s="27" t="s">
        <v>33</v>
      </c>
      <c r="O210" s="27" t="s">
        <v>111</v>
      </c>
      <c r="P210" s="27" t="s">
        <v>317</v>
      </c>
      <c r="Q210" s="27" t="s">
        <v>557</v>
      </c>
      <c r="R210" s="33">
        <v>44512</v>
      </c>
      <c r="S210" s="34">
        <v>42020</v>
      </c>
      <c r="T210" s="34">
        <v>42020</v>
      </c>
      <c r="U210" s="29">
        <v>-22.01</v>
      </c>
      <c r="V210" s="26">
        <v>5</v>
      </c>
      <c r="W210" s="29">
        <v>15.7</v>
      </c>
      <c r="X210" s="26">
        <v>88745</v>
      </c>
      <c r="Y210" s="35">
        <v>12.96</v>
      </c>
      <c r="Z210" s="1" t="s">
        <v>3014</v>
      </c>
      <c r="AA210" s="36">
        <v>0.59599999999999997</v>
      </c>
      <c r="AB210" s="54">
        <v>6.7510000000000003</v>
      </c>
      <c r="AC210" s="54">
        <v>1.7897999999999996</v>
      </c>
      <c r="AD210" s="36">
        <v>35.084000000000003</v>
      </c>
    </row>
    <row r="211" spans="1:30" s="37" customFormat="1" ht="15.75" customHeight="1" x14ac:dyDescent="0.2">
      <c r="A211" s="26">
        <v>366</v>
      </c>
      <c r="B211" s="27" t="s">
        <v>582</v>
      </c>
      <c r="C211" s="27" t="s">
        <v>116</v>
      </c>
      <c r="D211" s="28">
        <v>0.05</v>
      </c>
      <c r="E211" s="29">
        <v>328.14</v>
      </c>
      <c r="F211" s="29">
        <v>91.05</v>
      </c>
      <c r="G211" s="30" t="s">
        <v>27</v>
      </c>
      <c r="H211" s="27" t="s">
        <v>3095</v>
      </c>
      <c r="I211" s="27" t="s">
        <v>49</v>
      </c>
      <c r="J211" s="27" t="s">
        <v>95</v>
      </c>
      <c r="K211" s="27" t="s">
        <v>58</v>
      </c>
      <c r="L211" s="31" t="s">
        <v>583</v>
      </c>
      <c r="M211" s="32">
        <v>0.56999999999999995</v>
      </c>
      <c r="N211" s="27" t="s">
        <v>33</v>
      </c>
      <c r="O211" s="27" t="s">
        <v>111</v>
      </c>
      <c r="P211" s="27" t="s">
        <v>584</v>
      </c>
      <c r="Q211" s="27" t="s">
        <v>585</v>
      </c>
      <c r="R211" s="33">
        <v>2910</v>
      </c>
      <c r="S211" s="34">
        <v>42021</v>
      </c>
      <c r="T211" s="34">
        <v>42023</v>
      </c>
      <c r="U211" s="29">
        <v>411.5172</v>
      </c>
      <c r="V211" s="26">
        <v>6</v>
      </c>
      <c r="W211" s="29">
        <v>1967.98</v>
      </c>
      <c r="X211" s="26">
        <v>87347</v>
      </c>
      <c r="Y211" s="35">
        <v>30.450000000000003</v>
      </c>
      <c r="Z211" s="1" t="s">
        <v>3014</v>
      </c>
      <c r="AA211" s="36">
        <v>98.442000000000007</v>
      </c>
      <c r="AB211" s="54">
        <v>846.23140000000012</v>
      </c>
      <c r="AC211" s="54">
        <v>186.95809999999997</v>
      </c>
      <c r="AD211" s="36">
        <v>1366.9708000000001</v>
      </c>
    </row>
    <row r="212" spans="1:30" s="37" customFormat="1" ht="15.75" customHeight="1" x14ac:dyDescent="0.2">
      <c r="A212" s="26">
        <v>744</v>
      </c>
      <c r="B212" s="27" t="s">
        <v>586</v>
      </c>
      <c r="C212" s="27" t="s">
        <v>116</v>
      </c>
      <c r="D212" s="28">
        <v>0.03</v>
      </c>
      <c r="E212" s="29">
        <v>119.99</v>
      </c>
      <c r="F212" s="29">
        <v>56.14</v>
      </c>
      <c r="G212" s="30" t="s">
        <v>27</v>
      </c>
      <c r="H212" s="27" t="s">
        <v>40</v>
      </c>
      <c r="I212" s="27" t="s">
        <v>41</v>
      </c>
      <c r="J212" s="27" t="s">
        <v>57</v>
      </c>
      <c r="K212" s="27" t="s">
        <v>31</v>
      </c>
      <c r="L212" s="31" t="s">
        <v>587</v>
      </c>
      <c r="M212" s="32">
        <v>0.39</v>
      </c>
      <c r="N212" s="27" t="s">
        <v>33</v>
      </c>
      <c r="O212" s="27" t="s">
        <v>60</v>
      </c>
      <c r="P212" s="27" t="s">
        <v>588</v>
      </c>
      <c r="Q212" s="27" t="s">
        <v>589</v>
      </c>
      <c r="R212" s="33">
        <v>85737</v>
      </c>
      <c r="S212" s="34">
        <v>42021</v>
      </c>
      <c r="T212" s="34">
        <v>42023</v>
      </c>
      <c r="U212" s="29">
        <v>1400.1</v>
      </c>
      <c r="V212" s="26">
        <v>13</v>
      </c>
      <c r="W212" s="29">
        <v>1545.58</v>
      </c>
      <c r="X212" s="26">
        <v>87726</v>
      </c>
      <c r="Y212" s="35">
        <v>1.67</v>
      </c>
      <c r="Z212" s="1" t="s">
        <v>3013</v>
      </c>
      <c r="AA212" s="36">
        <v>46.796099999999996</v>
      </c>
      <c r="AB212" s="54">
        <v>942.80379999999991</v>
      </c>
      <c r="AC212" s="54">
        <v>46.367399999999996</v>
      </c>
      <c r="AD212" s="36">
        <v>42.543899999999894</v>
      </c>
    </row>
    <row r="213" spans="1:30" s="37" customFormat="1" ht="15.75" customHeight="1" x14ac:dyDescent="0.2">
      <c r="A213" s="26">
        <v>2628</v>
      </c>
      <c r="B213" s="27" t="s">
        <v>610</v>
      </c>
      <c r="C213" s="27" t="s">
        <v>116</v>
      </c>
      <c r="D213" s="28">
        <v>0.02</v>
      </c>
      <c r="E213" s="29">
        <v>30.53</v>
      </c>
      <c r="F213" s="29">
        <v>19.989999999999998</v>
      </c>
      <c r="G213" s="30" t="s">
        <v>87</v>
      </c>
      <c r="H213" s="27" t="s">
        <v>94</v>
      </c>
      <c r="I213" s="27" t="s">
        <v>49</v>
      </c>
      <c r="J213" s="27" t="s">
        <v>152</v>
      </c>
      <c r="K213" s="27" t="s">
        <v>73</v>
      </c>
      <c r="L213" s="31" t="s">
        <v>571</v>
      </c>
      <c r="M213" s="32">
        <v>0.39</v>
      </c>
      <c r="N213" s="27" t="s">
        <v>33</v>
      </c>
      <c r="O213" s="27" t="s">
        <v>53</v>
      </c>
      <c r="P213" s="27" t="s">
        <v>207</v>
      </c>
      <c r="Q213" s="27" t="s">
        <v>611</v>
      </c>
      <c r="R213" s="33">
        <v>73160</v>
      </c>
      <c r="S213" s="34">
        <v>42021</v>
      </c>
      <c r="T213" s="34">
        <v>42023</v>
      </c>
      <c r="U213" s="29">
        <v>-54.63</v>
      </c>
      <c r="V213" s="26">
        <v>14</v>
      </c>
      <c r="W213" s="29">
        <v>448.47</v>
      </c>
      <c r="X213" s="26">
        <v>85916</v>
      </c>
      <c r="Y213" s="35">
        <v>4.84</v>
      </c>
      <c r="Z213" s="1" t="s">
        <v>3012</v>
      </c>
      <c r="AA213" s="36">
        <v>8.5484000000000009</v>
      </c>
      <c r="AB213" s="54">
        <v>273.56670000000003</v>
      </c>
      <c r="AC213" s="54">
        <v>12.493092857142857</v>
      </c>
      <c r="AD213" s="36">
        <v>474.5616</v>
      </c>
    </row>
    <row r="214" spans="1:30" s="37" customFormat="1" ht="15.75" customHeight="1" x14ac:dyDescent="0.2">
      <c r="A214" s="26">
        <v>745</v>
      </c>
      <c r="B214" s="27" t="s">
        <v>590</v>
      </c>
      <c r="C214" s="27" t="s">
        <v>116</v>
      </c>
      <c r="D214" s="28">
        <v>0.05</v>
      </c>
      <c r="E214" s="29">
        <v>115.79</v>
      </c>
      <c r="F214" s="29">
        <v>1.99</v>
      </c>
      <c r="G214" s="30" t="s">
        <v>39</v>
      </c>
      <c r="H214" s="27" t="s">
        <v>40</v>
      </c>
      <c r="I214" s="27" t="s">
        <v>41</v>
      </c>
      <c r="J214" s="27" t="s">
        <v>42</v>
      </c>
      <c r="K214" s="27" t="s">
        <v>43</v>
      </c>
      <c r="L214" s="31" t="s">
        <v>591</v>
      </c>
      <c r="M214" s="32">
        <v>0.49</v>
      </c>
      <c r="N214" s="27" t="s">
        <v>33</v>
      </c>
      <c r="O214" s="27" t="s">
        <v>60</v>
      </c>
      <c r="P214" s="27" t="s">
        <v>588</v>
      </c>
      <c r="Q214" s="27" t="s">
        <v>592</v>
      </c>
      <c r="R214" s="33">
        <v>85345</v>
      </c>
      <c r="S214" s="34">
        <v>42021</v>
      </c>
      <c r="T214" s="34">
        <v>42023</v>
      </c>
      <c r="U214" s="29">
        <v>67.599999999999994</v>
      </c>
      <c r="V214" s="26">
        <v>3</v>
      </c>
      <c r="W214" s="29">
        <v>353.1</v>
      </c>
      <c r="X214" s="26">
        <v>87726</v>
      </c>
      <c r="Y214" s="35">
        <v>1.81</v>
      </c>
      <c r="Z214" s="1" t="s">
        <v>3013</v>
      </c>
      <c r="AA214" s="36">
        <v>17.368500000000001</v>
      </c>
      <c r="AB214" s="54">
        <v>180.08100000000002</v>
      </c>
      <c r="AC214" s="54">
        <v>57.673000000000002</v>
      </c>
      <c r="AD214" s="36">
        <v>266.14150000000006</v>
      </c>
    </row>
    <row r="215" spans="1:30" s="37" customFormat="1" ht="15.75" customHeight="1" x14ac:dyDescent="0.2">
      <c r="A215" s="26">
        <v>2618</v>
      </c>
      <c r="B215" s="27" t="s">
        <v>607</v>
      </c>
      <c r="C215" s="27" t="s">
        <v>116</v>
      </c>
      <c r="D215" s="28">
        <v>0</v>
      </c>
      <c r="E215" s="29">
        <v>125.99</v>
      </c>
      <c r="F215" s="29">
        <v>2.5</v>
      </c>
      <c r="G215" s="30" t="s">
        <v>39</v>
      </c>
      <c r="H215" s="27" t="s">
        <v>94</v>
      </c>
      <c r="I215" s="27" t="s">
        <v>41</v>
      </c>
      <c r="J215" s="27" t="s">
        <v>135</v>
      </c>
      <c r="K215" s="27" t="s">
        <v>73</v>
      </c>
      <c r="L215" s="31" t="s">
        <v>609</v>
      </c>
      <c r="M215" s="32">
        <v>0.59</v>
      </c>
      <c r="N215" s="27" t="s">
        <v>33</v>
      </c>
      <c r="O215" s="27" t="s">
        <v>111</v>
      </c>
      <c r="P215" s="27" t="s">
        <v>112</v>
      </c>
      <c r="Q215" s="27" t="s">
        <v>113</v>
      </c>
      <c r="R215" s="33">
        <v>10004</v>
      </c>
      <c r="S215" s="34">
        <v>42021</v>
      </c>
      <c r="T215" s="34">
        <v>42023</v>
      </c>
      <c r="U215" s="29">
        <v>-815.9008</v>
      </c>
      <c r="V215" s="26">
        <v>3</v>
      </c>
      <c r="W215" s="29">
        <v>337.34</v>
      </c>
      <c r="X215" s="26">
        <v>46884</v>
      </c>
      <c r="Y215" s="35">
        <v>328.09</v>
      </c>
      <c r="Z215" s="1" t="s">
        <v>3014</v>
      </c>
      <c r="AA215" s="36">
        <v>0</v>
      </c>
      <c r="AB215" s="54">
        <v>138.30940000000001</v>
      </c>
      <c r="AC215" s="54">
        <v>66.343533333333326</v>
      </c>
      <c r="AD215" s="36">
        <v>1150.7408</v>
      </c>
    </row>
    <row r="216" spans="1:30" s="37" customFormat="1" ht="15.75" customHeight="1" x14ac:dyDescent="0.2">
      <c r="A216" s="26">
        <v>2059</v>
      </c>
      <c r="B216" s="27" t="s">
        <v>616</v>
      </c>
      <c r="C216" s="27" t="s">
        <v>3094</v>
      </c>
      <c r="D216" s="28">
        <v>0.09</v>
      </c>
      <c r="E216" s="29">
        <v>28.48</v>
      </c>
      <c r="F216" s="29">
        <v>1.99</v>
      </c>
      <c r="G216" s="30" t="s">
        <v>39</v>
      </c>
      <c r="H216" s="27" t="s">
        <v>94</v>
      </c>
      <c r="I216" s="27" t="s">
        <v>41</v>
      </c>
      <c r="J216" s="27" t="s">
        <v>42</v>
      </c>
      <c r="K216" s="27" t="s">
        <v>43</v>
      </c>
      <c r="L216" s="31" t="s">
        <v>212</v>
      </c>
      <c r="M216" s="32">
        <v>0.4</v>
      </c>
      <c r="N216" s="27" t="s">
        <v>33</v>
      </c>
      <c r="O216" s="27" t="s">
        <v>34</v>
      </c>
      <c r="P216" s="27" t="s">
        <v>97</v>
      </c>
      <c r="Q216" s="27" t="s">
        <v>617</v>
      </c>
      <c r="R216" s="33">
        <v>27260</v>
      </c>
      <c r="S216" s="34">
        <v>42021</v>
      </c>
      <c r="T216" s="34">
        <v>42022</v>
      </c>
      <c r="U216" s="29">
        <v>-1250.7460000000001</v>
      </c>
      <c r="V216" s="26">
        <v>13</v>
      </c>
      <c r="W216" s="29">
        <v>336.92</v>
      </c>
      <c r="X216" s="26">
        <v>88039</v>
      </c>
      <c r="Y216" s="35">
        <v>119.96</v>
      </c>
      <c r="Z216" s="1" t="s">
        <v>3011</v>
      </c>
      <c r="AA216" s="36">
        <v>33.321600000000004</v>
      </c>
      <c r="AB216" s="54">
        <v>202.15200000000002</v>
      </c>
      <c r="AC216" s="54">
        <v>10.366769230769231</v>
      </c>
      <c r="AD216" s="36">
        <v>1552.3544000000002</v>
      </c>
    </row>
    <row r="217" spans="1:30" s="37" customFormat="1" ht="15.75" customHeight="1" x14ac:dyDescent="0.2">
      <c r="A217" s="26">
        <v>592</v>
      </c>
      <c r="B217" s="27" t="s">
        <v>570</v>
      </c>
      <c r="C217" s="27" t="s">
        <v>26</v>
      </c>
      <c r="D217" s="28">
        <v>0.08</v>
      </c>
      <c r="E217" s="29">
        <v>30.53</v>
      </c>
      <c r="F217" s="29">
        <v>19.989999999999998</v>
      </c>
      <c r="G217" s="30" t="s">
        <v>39</v>
      </c>
      <c r="H217" s="27" t="s">
        <v>3095</v>
      </c>
      <c r="I217" s="27" t="s">
        <v>49</v>
      </c>
      <c r="J217" s="27" t="s">
        <v>152</v>
      </c>
      <c r="K217" s="27" t="s">
        <v>73</v>
      </c>
      <c r="L217" s="31" t="s">
        <v>571</v>
      </c>
      <c r="M217" s="32">
        <v>0.39</v>
      </c>
      <c r="N217" s="27" t="s">
        <v>33</v>
      </c>
      <c r="O217" s="27" t="s">
        <v>53</v>
      </c>
      <c r="P217" s="27" t="s">
        <v>103</v>
      </c>
      <c r="Q217" s="27" t="s">
        <v>572</v>
      </c>
      <c r="R217" s="33">
        <v>60091</v>
      </c>
      <c r="S217" s="34">
        <v>42021</v>
      </c>
      <c r="T217" s="34">
        <v>42021</v>
      </c>
      <c r="U217" s="29">
        <v>-239.8656</v>
      </c>
      <c r="V217" s="26">
        <v>10</v>
      </c>
      <c r="W217" s="29">
        <v>285.87</v>
      </c>
      <c r="X217" s="26">
        <v>86307</v>
      </c>
      <c r="Y217" s="35">
        <v>115.74000000000001</v>
      </c>
      <c r="Z217" s="1" t="s">
        <v>3012</v>
      </c>
      <c r="AA217" s="36">
        <v>24.423999999999999</v>
      </c>
      <c r="AB217" s="54">
        <v>174.38069999999999</v>
      </c>
      <c r="AC217" s="54">
        <v>11.14893</v>
      </c>
      <c r="AD217" s="36">
        <v>481.32159999999999</v>
      </c>
    </row>
    <row r="218" spans="1:30" s="37" customFormat="1" ht="15.75" customHeight="1" x14ac:dyDescent="0.2">
      <c r="A218" s="26">
        <v>2725</v>
      </c>
      <c r="B218" s="27" t="s">
        <v>618</v>
      </c>
      <c r="C218" s="27" t="s">
        <v>3094</v>
      </c>
      <c r="D218" s="28">
        <v>0.05</v>
      </c>
      <c r="E218" s="29">
        <v>28.15</v>
      </c>
      <c r="F218" s="29">
        <v>6.17</v>
      </c>
      <c r="G218" s="30" t="s">
        <v>39</v>
      </c>
      <c r="H218" s="27" t="s">
        <v>71</v>
      </c>
      <c r="I218" s="27" t="s">
        <v>49</v>
      </c>
      <c r="J218" s="27" t="s">
        <v>50</v>
      </c>
      <c r="K218" s="27" t="s">
        <v>43</v>
      </c>
      <c r="L218" s="31" t="s">
        <v>619</v>
      </c>
      <c r="M218" s="32">
        <v>0.55000000000000004</v>
      </c>
      <c r="N218" s="27" t="s">
        <v>33</v>
      </c>
      <c r="O218" s="27" t="s">
        <v>34</v>
      </c>
      <c r="P218" s="27" t="s">
        <v>400</v>
      </c>
      <c r="Q218" s="27" t="s">
        <v>620</v>
      </c>
      <c r="R218" s="33">
        <v>37042</v>
      </c>
      <c r="S218" s="34">
        <v>42021</v>
      </c>
      <c r="T218" s="34">
        <v>42022</v>
      </c>
      <c r="U218" s="29">
        <v>-66.248000000000005</v>
      </c>
      <c r="V218" s="26">
        <v>10</v>
      </c>
      <c r="W218" s="29">
        <v>282.38</v>
      </c>
      <c r="X218" s="26">
        <v>88958</v>
      </c>
      <c r="Y218" s="35">
        <v>14.76</v>
      </c>
      <c r="Z218" s="1" t="s">
        <v>3011</v>
      </c>
      <c r="AA218" s="36">
        <v>14.074999999999999</v>
      </c>
      <c r="AB218" s="54">
        <v>127.07099999999998</v>
      </c>
      <c r="AC218" s="54">
        <v>15.530900000000001</v>
      </c>
      <c r="AD218" s="36">
        <v>328.38299999999998</v>
      </c>
    </row>
    <row r="219" spans="1:30" s="37" customFormat="1" ht="15.75" customHeight="1" x14ac:dyDescent="0.2">
      <c r="A219" s="26">
        <v>2618</v>
      </c>
      <c r="B219" s="27" t="s">
        <v>607</v>
      </c>
      <c r="C219" s="27" t="s">
        <v>116</v>
      </c>
      <c r="D219" s="28">
        <v>0.1</v>
      </c>
      <c r="E219" s="29">
        <v>11.55</v>
      </c>
      <c r="F219" s="29">
        <v>2.36</v>
      </c>
      <c r="G219" s="30" t="s">
        <v>39</v>
      </c>
      <c r="H219" s="27" t="s">
        <v>94</v>
      </c>
      <c r="I219" s="27" t="s">
        <v>49</v>
      </c>
      <c r="J219" s="27" t="s">
        <v>50</v>
      </c>
      <c r="K219" s="27" t="s">
        <v>51</v>
      </c>
      <c r="L219" s="31" t="s">
        <v>380</v>
      </c>
      <c r="M219" s="32">
        <v>0.55000000000000004</v>
      </c>
      <c r="N219" s="27" t="s">
        <v>33</v>
      </c>
      <c r="O219" s="27" t="s">
        <v>111</v>
      </c>
      <c r="P219" s="27" t="s">
        <v>112</v>
      </c>
      <c r="Q219" s="27" t="s">
        <v>113</v>
      </c>
      <c r="R219" s="33">
        <v>10004</v>
      </c>
      <c r="S219" s="34">
        <v>42021</v>
      </c>
      <c r="T219" s="34">
        <v>42022</v>
      </c>
      <c r="U219" s="29">
        <v>15.808</v>
      </c>
      <c r="V219" s="26">
        <v>25</v>
      </c>
      <c r="W219" s="29">
        <v>280.43</v>
      </c>
      <c r="X219" s="26">
        <v>46884</v>
      </c>
      <c r="Y219" s="35">
        <v>4.1500000000000004</v>
      </c>
      <c r="Z219" s="1" t="s">
        <v>3014</v>
      </c>
      <c r="AA219" s="36">
        <v>28.875</v>
      </c>
      <c r="AB219" s="54">
        <v>126.19349999999999</v>
      </c>
      <c r="AC219" s="54">
        <v>6.1694600000000008</v>
      </c>
      <c r="AD219" s="36">
        <v>233.387</v>
      </c>
    </row>
    <row r="220" spans="1:30" s="37" customFormat="1" ht="15.75" customHeight="1" x14ac:dyDescent="0.2">
      <c r="A220" s="26">
        <v>1873</v>
      </c>
      <c r="B220" s="27" t="s">
        <v>603</v>
      </c>
      <c r="C220" s="27" t="s">
        <v>116</v>
      </c>
      <c r="D220" s="28">
        <v>0.06</v>
      </c>
      <c r="E220" s="29">
        <v>22.84</v>
      </c>
      <c r="F220" s="29">
        <v>8.18</v>
      </c>
      <c r="G220" s="30" t="s">
        <v>39</v>
      </c>
      <c r="H220" s="27" t="s">
        <v>94</v>
      </c>
      <c r="I220" s="27" t="s">
        <v>49</v>
      </c>
      <c r="J220" s="27" t="s">
        <v>88</v>
      </c>
      <c r="K220" s="27" t="s">
        <v>73</v>
      </c>
      <c r="L220" s="31" t="s">
        <v>605</v>
      </c>
      <c r="M220" s="32">
        <v>0.39</v>
      </c>
      <c r="N220" s="27" t="s">
        <v>33</v>
      </c>
      <c r="O220" s="27" t="s">
        <v>34</v>
      </c>
      <c r="P220" s="27" t="s">
        <v>123</v>
      </c>
      <c r="Q220" s="27" t="s">
        <v>604</v>
      </c>
      <c r="R220" s="33">
        <v>33403</v>
      </c>
      <c r="S220" s="34">
        <v>42021</v>
      </c>
      <c r="T220" s="34">
        <v>42021</v>
      </c>
      <c r="U220" s="29">
        <v>-357.92399999999998</v>
      </c>
      <c r="V220" s="26">
        <v>7</v>
      </c>
      <c r="W220" s="29">
        <v>152.49</v>
      </c>
      <c r="X220" s="26">
        <v>90099</v>
      </c>
      <c r="Y220" s="35">
        <v>5.63</v>
      </c>
      <c r="Z220" s="1" t="s">
        <v>3011</v>
      </c>
      <c r="AA220" s="36">
        <v>9.5927999999999987</v>
      </c>
      <c r="AB220" s="54">
        <v>93.018900000000002</v>
      </c>
      <c r="AC220" s="54">
        <v>8.4958714285714301</v>
      </c>
      <c r="AD220" s="36">
        <v>492.64119999999997</v>
      </c>
    </row>
    <row r="221" spans="1:30" s="37" customFormat="1" ht="15.75" customHeight="1" x14ac:dyDescent="0.2">
      <c r="A221" s="26">
        <v>2618</v>
      </c>
      <c r="B221" s="27" t="s">
        <v>607</v>
      </c>
      <c r="C221" s="27" t="s">
        <v>116</v>
      </c>
      <c r="D221" s="28">
        <v>0.1</v>
      </c>
      <c r="E221" s="29">
        <v>7.64</v>
      </c>
      <c r="F221" s="29">
        <v>1.39</v>
      </c>
      <c r="G221" s="30" t="s">
        <v>39</v>
      </c>
      <c r="H221" s="27" t="s">
        <v>94</v>
      </c>
      <c r="I221" s="27" t="s">
        <v>49</v>
      </c>
      <c r="J221" s="27" t="s">
        <v>345</v>
      </c>
      <c r="K221" s="27" t="s">
        <v>73</v>
      </c>
      <c r="L221" s="31" t="s">
        <v>608</v>
      </c>
      <c r="M221" s="32">
        <v>0.36</v>
      </c>
      <c r="N221" s="27" t="s">
        <v>33</v>
      </c>
      <c r="O221" s="27" t="s">
        <v>111</v>
      </c>
      <c r="P221" s="27" t="s">
        <v>112</v>
      </c>
      <c r="Q221" s="27" t="s">
        <v>113</v>
      </c>
      <c r="R221" s="33">
        <v>10004</v>
      </c>
      <c r="S221" s="34">
        <v>42021</v>
      </c>
      <c r="T221" s="34">
        <v>42023</v>
      </c>
      <c r="U221" s="29">
        <v>16.12</v>
      </c>
      <c r="V221" s="26">
        <v>18</v>
      </c>
      <c r="W221" s="29">
        <v>130.11000000000001</v>
      </c>
      <c r="X221" s="26">
        <v>46884</v>
      </c>
      <c r="Y221" s="35">
        <v>16.420000000000002</v>
      </c>
      <c r="Z221" s="1" t="s">
        <v>3014</v>
      </c>
      <c r="AA221" s="36">
        <v>13.752000000000001</v>
      </c>
      <c r="AB221" s="54">
        <v>83.270400000000009</v>
      </c>
      <c r="AC221" s="54">
        <v>2.6022000000000003</v>
      </c>
      <c r="AD221" s="36">
        <v>98.848000000000013</v>
      </c>
    </row>
    <row r="222" spans="1:30" s="37" customFormat="1" ht="15.75" customHeight="1" x14ac:dyDescent="0.2">
      <c r="A222" s="26">
        <v>1719</v>
      </c>
      <c r="B222" s="27" t="s">
        <v>600</v>
      </c>
      <c r="C222" s="27" t="s">
        <v>116</v>
      </c>
      <c r="D222" s="28">
        <v>0.06</v>
      </c>
      <c r="E222" s="29">
        <v>16.48</v>
      </c>
      <c r="F222" s="29">
        <v>1.99</v>
      </c>
      <c r="G222" s="30" t="s">
        <v>39</v>
      </c>
      <c r="H222" s="27" t="s">
        <v>94</v>
      </c>
      <c r="I222" s="27" t="s">
        <v>41</v>
      </c>
      <c r="J222" s="27" t="s">
        <v>42</v>
      </c>
      <c r="K222" s="27" t="s">
        <v>43</v>
      </c>
      <c r="L222" s="31" t="s">
        <v>601</v>
      </c>
      <c r="M222" s="32">
        <v>0.42</v>
      </c>
      <c r="N222" s="27" t="s">
        <v>33</v>
      </c>
      <c r="O222" s="27" t="s">
        <v>34</v>
      </c>
      <c r="P222" s="27" t="s">
        <v>164</v>
      </c>
      <c r="Q222" s="27" t="s">
        <v>602</v>
      </c>
      <c r="R222" s="33">
        <v>35473</v>
      </c>
      <c r="S222" s="34">
        <v>42021</v>
      </c>
      <c r="T222" s="34">
        <v>42023</v>
      </c>
      <c r="U222" s="29">
        <v>-144.59200000000001</v>
      </c>
      <c r="V222" s="26">
        <v>8</v>
      </c>
      <c r="W222" s="29">
        <v>128.13</v>
      </c>
      <c r="X222" s="26">
        <v>90786</v>
      </c>
      <c r="Y222" s="35">
        <v>90.45</v>
      </c>
      <c r="Z222" s="1" t="s">
        <v>3011</v>
      </c>
      <c r="AA222" s="36">
        <v>7.9104000000000001</v>
      </c>
      <c r="AB222" s="54">
        <v>74.315400000000011</v>
      </c>
      <c r="AC222" s="54">
        <v>6.7268249999999998</v>
      </c>
      <c r="AD222" s="36">
        <v>262.82159999999999</v>
      </c>
    </row>
    <row r="223" spans="1:30" s="37" customFormat="1" ht="15.75" customHeight="1" x14ac:dyDescent="0.2">
      <c r="A223" s="26">
        <v>1873</v>
      </c>
      <c r="B223" s="27" t="s">
        <v>603</v>
      </c>
      <c r="C223" s="27" t="s">
        <v>116</v>
      </c>
      <c r="D223" s="28">
        <v>0.03</v>
      </c>
      <c r="E223" s="29">
        <v>90.48</v>
      </c>
      <c r="F223" s="29">
        <v>19.989999999999998</v>
      </c>
      <c r="G223" s="30" t="s">
        <v>39</v>
      </c>
      <c r="H223" s="27" t="s">
        <v>94</v>
      </c>
      <c r="I223" s="27" t="s">
        <v>49</v>
      </c>
      <c r="J223" s="27" t="s">
        <v>345</v>
      </c>
      <c r="K223" s="27" t="s">
        <v>73</v>
      </c>
      <c r="L223" s="31" t="s">
        <v>502</v>
      </c>
      <c r="M223" s="32">
        <v>0.4</v>
      </c>
      <c r="N223" s="27" t="s">
        <v>33</v>
      </c>
      <c r="O223" s="27" t="s">
        <v>34</v>
      </c>
      <c r="P223" s="27" t="s">
        <v>123</v>
      </c>
      <c r="Q223" s="27" t="s">
        <v>604</v>
      </c>
      <c r="R223" s="33">
        <v>33403</v>
      </c>
      <c r="S223" s="34">
        <v>42021</v>
      </c>
      <c r="T223" s="34">
        <v>42023</v>
      </c>
      <c r="U223" s="29">
        <v>15.353999999999999</v>
      </c>
      <c r="V223" s="26">
        <v>1</v>
      </c>
      <c r="W223" s="29">
        <v>99.69</v>
      </c>
      <c r="X223" s="26">
        <v>90099</v>
      </c>
      <c r="Y223" s="35">
        <v>22.78</v>
      </c>
      <c r="Z223" s="1" t="s">
        <v>3011</v>
      </c>
      <c r="AA223" s="36">
        <v>2.7143999999999999</v>
      </c>
      <c r="AB223" s="54">
        <v>59.813999999999993</v>
      </c>
      <c r="AC223" s="54">
        <v>39.876000000000005</v>
      </c>
      <c r="AD223" s="36">
        <v>61.631600000000006</v>
      </c>
    </row>
    <row r="224" spans="1:30" s="37" customFormat="1" ht="15.75" customHeight="1" x14ac:dyDescent="0.2">
      <c r="A224" s="26">
        <v>526</v>
      </c>
      <c r="B224" s="27" t="s">
        <v>612</v>
      </c>
      <c r="C224" s="27" t="s">
        <v>3094</v>
      </c>
      <c r="D224" s="28">
        <v>0.06</v>
      </c>
      <c r="E224" s="29">
        <v>5.78</v>
      </c>
      <c r="F224" s="29">
        <v>5.67</v>
      </c>
      <c r="G224" s="30" t="s">
        <v>39</v>
      </c>
      <c r="H224" s="27" t="s">
        <v>71</v>
      </c>
      <c r="I224" s="27" t="s">
        <v>49</v>
      </c>
      <c r="J224" s="27" t="s">
        <v>88</v>
      </c>
      <c r="K224" s="27" t="s">
        <v>73</v>
      </c>
      <c r="L224" s="31" t="s">
        <v>615</v>
      </c>
      <c r="M224" s="32">
        <v>0.36</v>
      </c>
      <c r="N224" s="27" t="s">
        <v>33</v>
      </c>
      <c r="O224" s="27" t="s">
        <v>60</v>
      </c>
      <c r="P224" s="27" t="s">
        <v>588</v>
      </c>
      <c r="Q224" s="27" t="s">
        <v>614</v>
      </c>
      <c r="R224" s="33">
        <v>85204</v>
      </c>
      <c r="S224" s="34">
        <v>42021</v>
      </c>
      <c r="T224" s="34">
        <v>42022</v>
      </c>
      <c r="U224" s="29">
        <v>-108.19</v>
      </c>
      <c r="V224" s="26">
        <v>15</v>
      </c>
      <c r="W224" s="29">
        <v>87.27</v>
      </c>
      <c r="X224" s="26">
        <v>90027</v>
      </c>
      <c r="Y224" s="35">
        <v>1.69</v>
      </c>
      <c r="Z224" s="1" t="s">
        <v>3013</v>
      </c>
      <c r="AA224" s="36">
        <v>5.202</v>
      </c>
      <c r="AB224" s="54">
        <v>55.852800000000002</v>
      </c>
      <c r="AC224" s="54">
        <v>2.0944799999999999</v>
      </c>
      <c r="AD224" s="36">
        <v>184.58799999999999</v>
      </c>
    </row>
    <row r="225" spans="1:30" s="37" customFormat="1" ht="15.75" customHeight="1" x14ac:dyDescent="0.2">
      <c r="A225" s="26">
        <v>1708</v>
      </c>
      <c r="B225" s="27" t="s">
        <v>597</v>
      </c>
      <c r="C225" s="27" t="s">
        <v>116</v>
      </c>
      <c r="D225" s="28">
        <v>0.05</v>
      </c>
      <c r="E225" s="29">
        <v>5.68</v>
      </c>
      <c r="F225" s="29">
        <v>1.39</v>
      </c>
      <c r="G225" s="30" t="s">
        <v>39</v>
      </c>
      <c r="H225" s="27" t="s">
        <v>3095</v>
      </c>
      <c r="I225" s="27" t="s">
        <v>49</v>
      </c>
      <c r="J225" s="27" t="s">
        <v>345</v>
      </c>
      <c r="K225" s="27" t="s">
        <v>73</v>
      </c>
      <c r="L225" s="31" t="s">
        <v>598</v>
      </c>
      <c r="M225" s="32">
        <v>0.38</v>
      </c>
      <c r="N225" s="27" t="s">
        <v>33</v>
      </c>
      <c r="O225" s="27" t="s">
        <v>111</v>
      </c>
      <c r="P225" s="27" t="s">
        <v>317</v>
      </c>
      <c r="Q225" s="27" t="s">
        <v>599</v>
      </c>
      <c r="R225" s="33">
        <v>44118</v>
      </c>
      <c r="S225" s="34">
        <v>42021</v>
      </c>
      <c r="T225" s="34">
        <v>42022</v>
      </c>
      <c r="U225" s="29">
        <v>38.281199999999998</v>
      </c>
      <c r="V225" s="26">
        <v>10</v>
      </c>
      <c r="W225" s="29">
        <v>55.48</v>
      </c>
      <c r="X225" s="26">
        <v>88781</v>
      </c>
      <c r="Y225" s="35">
        <v>7.54</v>
      </c>
      <c r="Z225" s="1" t="s">
        <v>3014</v>
      </c>
      <c r="AA225" s="36">
        <v>2.84</v>
      </c>
      <c r="AB225" s="54">
        <v>34.397599999999997</v>
      </c>
      <c r="AC225" s="54">
        <v>2.1082399999999999</v>
      </c>
      <c r="AD225" s="36">
        <v>12.968799999999995</v>
      </c>
    </row>
    <row r="226" spans="1:30" s="37" customFormat="1" ht="15.75" customHeight="1" x14ac:dyDescent="0.2">
      <c r="A226" s="26">
        <v>1702</v>
      </c>
      <c r="B226" s="27" t="s">
        <v>593</v>
      </c>
      <c r="C226" s="27" t="s">
        <v>116</v>
      </c>
      <c r="D226" s="28">
        <v>0.05</v>
      </c>
      <c r="E226" s="29">
        <v>14.81</v>
      </c>
      <c r="F226" s="29">
        <v>13.32</v>
      </c>
      <c r="G226" s="30" t="s">
        <v>39</v>
      </c>
      <c r="H226" s="27" t="s">
        <v>71</v>
      </c>
      <c r="I226" s="27" t="s">
        <v>49</v>
      </c>
      <c r="J226" s="27" t="s">
        <v>95</v>
      </c>
      <c r="K226" s="27" t="s">
        <v>73</v>
      </c>
      <c r="L226" s="31" t="s">
        <v>594</v>
      </c>
      <c r="M226" s="32">
        <v>0.43</v>
      </c>
      <c r="N226" s="27" t="s">
        <v>33</v>
      </c>
      <c r="O226" s="27" t="s">
        <v>34</v>
      </c>
      <c r="P226" s="27" t="s">
        <v>35</v>
      </c>
      <c r="Q226" s="27" t="s">
        <v>595</v>
      </c>
      <c r="R226" s="33">
        <v>39301</v>
      </c>
      <c r="S226" s="34">
        <v>42021</v>
      </c>
      <c r="T226" s="34">
        <v>42024</v>
      </c>
      <c r="U226" s="29">
        <v>-220.05199999999999</v>
      </c>
      <c r="V226" s="26">
        <v>3</v>
      </c>
      <c r="W226" s="29">
        <v>45.28</v>
      </c>
      <c r="X226" s="26">
        <v>90473</v>
      </c>
      <c r="Y226" s="35">
        <v>125.99</v>
      </c>
      <c r="Z226" s="1" t="s">
        <v>3011</v>
      </c>
      <c r="AA226" s="36">
        <v>2.2215000000000003</v>
      </c>
      <c r="AB226" s="54">
        <v>25.809600000000003</v>
      </c>
      <c r="AC226" s="54">
        <v>6.4901333333333335</v>
      </c>
      <c r="AD226" s="36">
        <v>249.79050000000001</v>
      </c>
    </row>
    <row r="227" spans="1:30" s="37" customFormat="1" ht="15.75" customHeight="1" x14ac:dyDescent="0.2">
      <c r="A227" s="26">
        <v>1531</v>
      </c>
      <c r="B227" s="27" t="s">
        <v>576</v>
      </c>
      <c r="C227" s="27" t="s">
        <v>26</v>
      </c>
      <c r="D227" s="28">
        <v>7.0000000000000007E-2</v>
      </c>
      <c r="E227" s="29">
        <v>4.91</v>
      </c>
      <c r="F227" s="29">
        <v>0.5</v>
      </c>
      <c r="G227" s="30" t="s">
        <v>39</v>
      </c>
      <c r="H227" s="27" t="s">
        <v>40</v>
      </c>
      <c r="I227" s="27" t="s">
        <v>49</v>
      </c>
      <c r="J227" s="27" t="s">
        <v>152</v>
      </c>
      <c r="K227" s="27" t="s">
        <v>73</v>
      </c>
      <c r="L227" s="31" t="s">
        <v>577</v>
      </c>
      <c r="M227" s="32">
        <v>0.36</v>
      </c>
      <c r="N227" s="27" t="s">
        <v>33</v>
      </c>
      <c r="O227" s="27" t="s">
        <v>34</v>
      </c>
      <c r="P227" s="27" t="s">
        <v>123</v>
      </c>
      <c r="Q227" s="27" t="s">
        <v>578</v>
      </c>
      <c r="R227" s="33">
        <v>32137</v>
      </c>
      <c r="S227" s="34">
        <v>42021</v>
      </c>
      <c r="T227" s="34">
        <v>42022</v>
      </c>
      <c r="U227" s="29">
        <v>-157.696</v>
      </c>
      <c r="V227" s="26">
        <v>6</v>
      </c>
      <c r="W227" s="29">
        <v>28.22</v>
      </c>
      <c r="X227" s="26">
        <v>88852</v>
      </c>
      <c r="Y227" s="35">
        <v>11.450000000000001</v>
      </c>
      <c r="Z227" s="1" t="s">
        <v>3011</v>
      </c>
      <c r="AA227" s="36">
        <v>2.0622000000000003</v>
      </c>
      <c r="AB227" s="54">
        <v>18.0608</v>
      </c>
      <c r="AC227" s="54">
        <v>1.6931999999999998</v>
      </c>
      <c r="AD227" s="36">
        <v>183.35380000000001</v>
      </c>
    </row>
    <row r="228" spans="1:30" s="37" customFormat="1" ht="15.75" customHeight="1" x14ac:dyDescent="0.2">
      <c r="A228" s="26">
        <v>2579</v>
      </c>
      <c r="B228" s="27" t="s">
        <v>162</v>
      </c>
      <c r="C228" s="27" t="s">
        <v>116</v>
      </c>
      <c r="D228" s="28">
        <v>7.0000000000000007E-2</v>
      </c>
      <c r="E228" s="29">
        <v>1.76</v>
      </c>
      <c r="F228" s="29">
        <v>4.8600000000000003</v>
      </c>
      <c r="G228" s="30" t="s">
        <v>39</v>
      </c>
      <c r="H228" s="27" t="s">
        <v>71</v>
      </c>
      <c r="I228" s="27" t="s">
        <v>29</v>
      </c>
      <c r="J228" s="27" t="s">
        <v>126</v>
      </c>
      <c r="K228" s="27" t="s">
        <v>73</v>
      </c>
      <c r="L228" s="31" t="s">
        <v>606</v>
      </c>
      <c r="M228" s="32">
        <v>0.41</v>
      </c>
      <c r="N228" s="27" t="s">
        <v>33</v>
      </c>
      <c r="O228" s="27" t="s">
        <v>34</v>
      </c>
      <c r="P228" s="27" t="s">
        <v>164</v>
      </c>
      <c r="Q228" s="27" t="s">
        <v>165</v>
      </c>
      <c r="R228" s="33">
        <v>36869</v>
      </c>
      <c r="S228" s="34">
        <v>42021</v>
      </c>
      <c r="T228" s="34">
        <v>42021</v>
      </c>
      <c r="U228" s="29">
        <v>0.58799999999999997</v>
      </c>
      <c r="V228" s="26">
        <v>15</v>
      </c>
      <c r="W228" s="29">
        <v>26.01</v>
      </c>
      <c r="X228" s="26">
        <v>88297</v>
      </c>
      <c r="Y228" s="35">
        <v>30.51</v>
      </c>
      <c r="Z228" s="1" t="s">
        <v>3011</v>
      </c>
      <c r="AA228" s="36">
        <v>1.8480000000000003</v>
      </c>
      <c r="AB228" s="54">
        <v>15.345900000000004</v>
      </c>
      <c r="AC228" s="54">
        <v>0.71094000000000002</v>
      </c>
      <c r="AD228" s="36">
        <v>18.713999999999999</v>
      </c>
    </row>
    <row r="229" spans="1:30" s="37" customFormat="1" ht="15.75" customHeight="1" x14ac:dyDescent="0.2">
      <c r="A229" s="26">
        <v>526</v>
      </c>
      <c r="B229" s="27" t="s">
        <v>612</v>
      </c>
      <c r="C229" s="27" t="s">
        <v>3094</v>
      </c>
      <c r="D229" s="28">
        <v>0</v>
      </c>
      <c r="E229" s="29">
        <v>1.88</v>
      </c>
      <c r="F229" s="29">
        <v>1.49</v>
      </c>
      <c r="G229" s="30" t="s">
        <v>39</v>
      </c>
      <c r="H229" s="27" t="s">
        <v>71</v>
      </c>
      <c r="I229" s="27" t="s">
        <v>49</v>
      </c>
      <c r="J229" s="27" t="s">
        <v>72</v>
      </c>
      <c r="K229" s="27" t="s">
        <v>73</v>
      </c>
      <c r="L229" s="31" t="s">
        <v>613</v>
      </c>
      <c r="M229" s="32">
        <v>0.37</v>
      </c>
      <c r="N229" s="27" t="s">
        <v>33</v>
      </c>
      <c r="O229" s="27" t="s">
        <v>60</v>
      </c>
      <c r="P229" s="27" t="s">
        <v>588</v>
      </c>
      <c r="Q229" s="27" t="s">
        <v>614</v>
      </c>
      <c r="R229" s="33">
        <v>85204</v>
      </c>
      <c r="S229" s="34">
        <v>42021</v>
      </c>
      <c r="T229" s="34">
        <v>42022</v>
      </c>
      <c r="U229" s="29">
        <v>-15.5595</v>
      </c>
      <c r="V229" s="26">
        <v>13</v>
      </c>
      <c r="W229" s="29">
        <v>25.39</v>
      </c>
      <c r="X229" s="26">
        <v>90027</v>
      </c>
      <c r="Y229" s="35">
        <v>1.88</v>
      </c>
      <c r="Z229" s="1" t="s">
        <v>3013</v>
      </c>
      <c r="AA229" s="36">
        <v>0</v>
      </c>
      <c r="AB229" s="54">
        <v>15.995700000000001</v>
      </c>
      <c r="AC229" s="54">
        <v>0.72263846153846156</v>
      </c>
      <c r="AD229" s="36">
        <v>39.459499999999998</v>
      </c>
    </row>
    <row r="230" spans="1:30" s="37" customFormat="1" ht="15.75" customHeight="1" x14ac:dyDescent="0.2">
      <c r="A230" s="26">
        <v>593</v>
      </c>
      <c r="B230" s="27" t="s">
        <v>573</v>
      </c>
      <c r="C230" s="27" t="s">
        <v>26</v>
      </c>
      <c r="D230" s="28">
        <v>0.01</v>
      </c>
      <c r="E230" s="29">
        <v>1.68</v>
      </c>
      <c r="F230" s="29">
        <v>1.57</v>
      </c>
      <c r="G230" s="30" t="s">
        <v>39</v>
      </c>
      <c r="H230" s="27" t="s">
        <v>3095</v>
      </c>
      <c r="I230" s="27" t="s">
        <v>49</v>
      </c>
      <c r="J230" s="27" t="s">
        <v>50</v>
      </c>
      <c r="K230" s="27" t="s">
        <v>51</v>
      </c>
      <c r="L230" s="31" t="s">
        <v>574</v>
      </c>
      <c r="M230" s="32">
        <v>0.59</v>
      </c>
      <c r="N230" s="27" t="s">
        <v>33</v>
      </c>
      <c r="O230" s="27" t="s">
        <v>53</v>
      </c>
      <c r="P230" s="27" t="s">
        <v>103</v>
      </c>
      <c r="Q230" s="27" t="s">
        <v>575</v>
      </c>
      <c r="R230" s="33">
        <v>60517</v>
      </c>
      <c r="S230" s="34">
        <v>42021</v>
      </c>
      <c r="T230" s="34">
        <v>42023</v>
      </c>
      <c r="U230" s="29">
        <v>-53.444000000000003</v>
      </c>
      <c r="V230" s="26">
        <v>12</v>
      </c>
      <c r="W230" s="29">
        <v>20.37</v>
      </c>
      <c r="X230" s="26">
        <v>86307</v>
      </c>
      <c r="Y230" s="35">
        <v>5.7200000000000006</v>
      </c>
      <c r="Z230" s="1" t="s">
        <v>3012</v>
      </c>
      <c r="AA230" s="36">
        <v>0.2016</v>
      </c>
      <c r="AB230" s="54">
        <v>8.351700000000001</v>
      </c>
      <c r="AC230" s="54">
        <v>1.001525</v>
      </c>
      <c r="AD230" s="36">
        <v>72.042400000000001</v>
      </c>
    </row>
    <row r="231" spans="1:30" s="37" customFormat="1" ht="15.75" customHeight="1" x14ac:dyDescent="0.2">
      <c r="A231" s="26">
        <v>210</v>
      </c>
      <c r="B231" s="27" t="s">
        <v>579</v>
      </c>
      <c r="C231" s="27" t="s">
        <v>48</v>
      </c>
      <c r="D231" s="28">
        <v>0.05</v>
      </c>
      <c r="E231" s="29">
        <v>1.86</v>
      </c>
      <c r="F231" s="29">
        <v>2.58</v>
      </c>
      <c r="G231" s="30" t="s">
        <v>39</v>
      </c>
      <c r="H231" s="27" t="s">
        <v>71</v>
      </c>
      <c r="I231" s="27" t="s">
        <v>49</v>
      </c>
      <c r="J231" s="27" t="s">
        <v>176</v>
      </c>
      <c r="K231" s="27" t="s">
        <v>51</v>
      </c>
      <c r="L231" s="31" t="s">
        <v>580</v>
      </c>
      <c r="M231" s="32">
        <v>0.82</v>
      </c>
      <c r="N231" s="27" t="s">
        <v>33</v>
      </c>
      <c r="O231" s="27" t="s">
        <v>111</v>
      </c>
      <c r="P231" s="27" t="s">
        <v>112</v>
      </c>
      <c r="Q231" s="27" t="s">
        <v>581</v>
      </c>
      <c r="R231" s="33">
        <v>12180</v>
      </c>
      <c r="S231" s="34">
        <v>42021</v>
      </c>
      <c r="T231" s="34">
        <v>42025</v>
      </c>
      <c r="U231" s="29">
        <v>-66.62</v>
      </c>
      <c r="V231" s="26">
        <v>9</v>
      </c>
      <c r="W231" s="29">
        <v>17.61</v>
      </c>
      <c r="X231" s="26">
        <v>85965</v>
      </c>
      <c r="Y231" s="35">
        <v>28.39</v>
      </c>
      <c r="Z231" s="1" t="s">
        <v>3014</v>
      </c>
      <c r="AA231" s="36">
        <v>0.83700000000000008</v>
      </c>
      <c r="AB231" s="54">
        <v>3.1698000000000008</v>
      </c>
      <c r="AC231" s="54">
        <v>1.6044666666666665</v>
      </c>
      <c r="AD231" s="36">
        <v>80.813000000000002</v>
      </c>
    </row>
    <row r="232" spans="1:30" s="37" customFormat="1" ht="15.75" customHeight="1" x14ac:dyDescent="0.2">
      <c r="A232" s="26">
        <v>1702</v>
      </c>
      <c r="B232" s="27" t="s">
        <v>593</v>
      </c>
      <c r="C232" s="27" t="s">
        <v>116</v>
      </c>
      <c r="D232" s="28">
        <v>0.05</v>
      </c>
      <c r="E232" s="29">
        <v>4.2</v>
      </c>
      <c r="F232" s="29">
        <v>2.2599999999999998</v>
      </c>
      <c r="G232" s="30" t="s">
        <v>87</v>
      </c>
      <c r="H232" s="27" t="s">
        <v>71</v>
      </c>
      <c r="I232" s="27" t="s">
        <v>49</v>
      </c>
      <c r="J232" s="27" t="s">
        <v>88</v>
      </c>
      <c r="K232" s="27" t="s">
        <v>51</v>
      </c>
      <c r="L232" s="31" t="s">
        <v>596</v>
      </c>
      <c r="M232" s="32">
        <v>0.36</v>
      </c>
      <c r="N232" s="27" t="s">
        <v>33</v>
      </c>
      <c r="O232" s="27" t="s">
        <v>34</v>
      </c>
      <c r="P232" s="27" t="s">
        <v>35</v>
      </c>
      <c r="Q232" s="27" t="s">
        <v>595</v>
      </c>
      <c r="R232" s="33">
        <v>39301</v>
      </c>
      <c r="S232" s="34">
        <v>42021</v>
      </c>
      <c r="T232" s="34">
        <v>42023</v>
      </c>
      <c r="U232" s="29">
        <v>20.393370000000001</v>
      </c>
      <c r="V232" s="26">
        <v>3</v>
      </c>
      <c r="W232" s="29">
        <v>13.57</v>
      </c>
      <c r="X232" s="26">
        <v>90473</v>
      </c>
      <c r="Y232" s="35">
        <v>28.099999999999998</v>
      </c>
      <c r="Z232" s="1" t="s">
        <v>3011</v>
      </c>
      <c r="AA232" s="36">
        <v>0.63000000000000012</v>
      </c>
      <c r="AB232" s="54">
        <v>8.684800000000001</v>
      </c>
      <c r="AC232" s="54">
        <v>1.6284000000000001</v>
      </c>
      <c r="AD232" s="36">
        <v>-9.7133700000000012</v>
      </c>
    </row>
    <row r="233" spans="1:30" s="37" customFormat="1" ht="15.75" customHeight="1" x14ac:dyDescent="0.2">
      <c r="A233" s="26">
        <v>1972</v>
      </c>
      <c r="B233" s="27" t="s">
        <v>626</v>
      </c>
      <c r="C233" s="27" t="s">
        <v>116</v>
      </c>
      <c r="D233" s="28">
        <v>0.05</v>
      </c>
      <c r="E233" s="29">
        <v>350.99</v>
      </c>
      <c r="F233" s="29">
        <v>39</v>
      </c>
      <c r="G233" s="30" t="s">
        <v>27</v>
      </c>
      <c r="H233" s="27" t="s">
        <v>94</v>
      </c>
      <c r="I233" s="27" t="s">
        <v>29</v>
      </c>
      <c r="J233" s="27" t="s">
        <v>109</v>
      </c>
      <c r="K233" s="27" t="s">
        <v>58</v>
      </c>
      <c r="L233" s="31" t="s">
        <v>438</v>
      </c>
      <c r="M233" s="32">
        <v>0.55000000000000004</v>
      </c>
      <c r="N233" s="27" t="s">
        <v>33</v>
      </c>
      <c r="O233" s="27" t="s">
        <v>111</v>
      </c>
      <c r="P233" s="27" t="s">
        <v>320</v>
      </c>
      <c r="Q233" s="27" t="s">
        <v>627</v>
      </c>
      <c r="R233" s="33">
        <v>19090</v>
      </c>
      <c r="S233" s="34">
        <v>42022</v>
      </c>
      <c r="T233" s="34">
        <v>42024</v>
      </c>
      <c r="U233" s="29">
        <v>1469.7275999999999</v>
      </c>
      <c r="V233" s="26">
        <v>6</v>
      </c>
      <c r="W233" s="29">
        <v>2130.04</v>
      </c>
      <c r="X233" s="26">
        <v>91550</v>
      </c>
      <c r="Y233" s="35">
        <v>58.050000000000004</v>
      </c>
      <c r="Z233" s="1" t="s">
        <v>3014</v>
      </c>
      <c r="AA233" s="36">
        <v>105.29700000000001</v>
      </c>
      <c r="AB233" s="54">
        <v>958.51799999999992</v>
      </c>
      <c r="AC233" s="54">
        <v>195.25366666666667</v>
      </c>
      <c r="AD233" s="36">
        <v>516.0154</v>
      </c>
    </row>
    <row r="234" spans="1:30" s="37" customFormat="1" ht="15.75" customHeight="1" x14ac:dyDescent="0.2">
      <c r="A234" s="26">
        <v>2443</v>
      </c>
      <c r="B234" s="27" t="s">
        <v>621</v>
      </c>
      <c r="C234" s="27" t="s">
        <v>38</v>
      </c>
      <c r="D234" s="28">
        <v>0.05</v>
      </c>
      <c r="E234" s="29">
        <v>58.1</v>
      </c>
      <c r="F234" s="29">
        <v>1.49</v>
      </c>
      <c r="G234" s="30" t="s">
        <v>39</v>
      </c>
      <c r="H234" s="27" t="s">
        <v>94</v>
      </c>
      <c r="I234" s="27" t="s">
        <v>49</v>
      </c>
      <c r="J234" s="27" t="s">
        <v>72</v>
      </c>
      <c r="K234" s="27" t="s">
        <v>73</v>
      </c>
      <c r="L234" s="31" t="s">
        <v>622</v>
      </c>
      <c r="M234" s="32">
        <v>0.38</v>
      </c>
      <c r="N234" s="27" t="s">
        <v>33</v>
      </c>
      <c r="O234" s="27" t="s">
        <v>34</v>
      </c>
      <c r="P234" s="27" t="s">
        <v>123</v>
      </c>
      <c r="Q234" s="27" t="s">
        <v>128</v>
      </c>
      <c r="R234" s="33">
        <v>33142</v>
      </c>
      <c r="S234" s="34">
        <v>42022</v>
      </c>
      <c r="T234" s="34">
        <v>42022</v>
      </c>
      <c r="U234" s="29">
        <v>1633.9860000000001</v>
      </c>
      <c r="V234" s="26">
        <v>13</v>
      </c>
      <c r="W234" s="29">
        <v>739.06</v>
      </c>
      <c r="X234" s="26">
        <v>89299</v>
      </c>
      <c r="Y234" s="35">
        <v>11.56</v>
      </c>
      <c r="Z234" s="1" t="s">
        <v>3011</v>
      </c>
      <c r="AA234" s="36">
        <v>37.765000000000001</v>
      </c>
      <c r="AB234" s="54">
        <v>458.21719999999999</v>
      </c>
      <c r="AC234" s="54">
        <v>21.603292307692307</v>
      </c>
      <c r="AD234" s="36">
        <v>-934.18100000000027</v>
      </c>
    </row>
    <row r="235" spans="1:30" s="37" customFormat="1" ht="15.75" customHeight="1" x14ac:dyDescent="0.2">
      <c r="A235" s="26">
        <v>1972</v>
      </c>
      <c r="B235" s="27" t="s">
        <v>626</v>
      </c>
      <c r="C235" s="27" t="s">
        <v>116</v>
      </c>
      <c r="D235" s="28">
        <v>0.04</v>
      </c>
      <c r="E235" s="29">
        <v>15.99</v>
      </c>
      <c r="F235" s="29">
        <v>9.4</v>
      </c>
      <c r="G235" s="30" t="s">
        <v>87</v>
      </c>
      <c r="H235" s="27" t="s">
        <v>94</v>
      </c>
      <c r="I235" s="27" t="s">
        <v>41</v>
      </c>
      <c r="J235" s="27" t="s">
        <v>57</v>
      </c>
      <c r="K235" s="27" t="s">
        <v>73</v>
      </c>
      <c r="L235" s="31" t="s">
        <v>628</v>
      </c>
      <c r="M235" s="32">
        <v>0.49</v>
      </c>
      <c r="N235" s="27" t="s">
        <v>33</v>
      </c>
      <c r="O235" s="27" t="s">
        <v>111</v>
      </c>
      <c r="P235" s="27" t="s">
        <v>320</v>
      </c>
      <c r="Q235" s="27" t="s">
        <v>627</v>
      </c>
      <c r="R235" s="33">
        <v>19090</v>
      </c>
      <c r="S235" s="34">
        <v>42022</v>
      </c>
      <c r="T235" s="34">
        <v>42024</v>
      </c>
      <c r="U235" s="29">
        <v>-83.553060000000002</v>
      </c>
      <c r="V235" s="26">
        <v>5</v>
      </c>
      <c r="W235" s="29">
        <v>82.8</v>
      </c>
      <c r="X235" s="26">
        <v>91550</v>
      </c>
      <c r="Y235" s="35">
        <v>350.94</v>
      </c>
      <c r="Z235" s="1" t="s">
        <v>3014</v>
      </c>
      <c r="AA235" s="36">
        <v>3.1980000000000004</v>
      </c>
      <c r="AB235" s="54">
        <v>42.228000000000002</v>
      </c>
      <c r="AC235" s="54">
        <v>8.1143999999999998</v>
      </c>
      <c r="AD235" s="36">
        <v>153.75506000000001</v>
      </c>
    </row>
    <row r="236" spans="1:30" s="37" customFormat="1" ht="15.75" customHeight="1" x14ac:dyDescent="0.2">
      <c r="A236" s="26">
        <v>1971</v>
      </c>
      <c r="B236" s="27" t="s">
        <v>623</v>
      </c>
      <c r="C236" s="27" t="s">
        <v>116</v>
      </c>
      <c r="D236" s="28">
        <v>0.02</v>
      </c>
      <c r="E236" s="29">
        <v>11.58</v>
      </c>
      <c r="F236" s="29">
        <v>5.72</v>
      </c>
      <c r="G236" s="30" t="s">
        <v>39</v>
      </c>
      <c r="H236" s="27" t="s">
        <v>94</v>
      </c>
      <c r="I236" s="27" t="s">
        <v>49</v>
      </c>
      <c r="J236" s="27" t="s">
        <v>345</v>
      </c>
      <c r="K236" s="27" t="s">
        <v>73</v>
      </c>
      <c r="L236" s="31" t="s">
        <v>624</v>
      </c>
      <c r="M236" s="32">
        <v>0.35</v>
      </c>
      <c r="N236" s="27" t="s">
        <v>33</v>
      </c>
      <c r="O236" s="27" t="s">
        <v>34</v>
      </c>
      <c r="P236" s="27" t="s">
        <v>35</v>
      </c>
      <c r="Q236" s="27" t="s">
        <v>625</v>
      </c>
      <c r="R236" s="33">
        <v>38801</v>
      </c>
      <c r="S236" s="34">
        <v>42022</v>
      </c>
      <c r="T236" s="34">
        <v>42023</v>
      </c>
      <c r="U236" s="29">
        <v>-259.75599999999997</v>
      </c>
      <c r="V236" s="26">
        <v>3</v>
      </c>
      <c r="W236" s="29">
        <v>35.479999999999997</v>
      </c>
      <c r="X236" s="26">
        <v>91550</v>
      </c>
      <c r="Y236" s="35">
        <v>15.950000000000001</v>
      </c>
      <c r="Z236" s="1" t="s">
        <v>3011</v>
      </c>
      <c r="AA236" s="36">
        <v>0.69479999999999997</v>
      </c>
      <c r="AB236" s="54">
        <v>23.061999999999998</v>
      </c>
      <c r="AC236" s="54">
        <v>4.1393333333333331</v>
      </c>
      <c r="AD236" s="36">
        <v>288.82119999999998</v>
      </c>
    </row>
    <row r="237" spans="1:30" s="37" customFormat="1" ht="15.75" customHeight="1" x14ac:dyDescent="0.2">
      <c r="A237" s="26">
        <v>3095</v>
      </c>
      <c r="B237" s="27" t="s">
        <v>635</v>
      </c>
      <c r="C237" s="27" t="s">
        <v>26</v>
      </c>
      <c r="D237" s="28">
        <v>0.09</v>
      </c>
      <c r="E237" s="29">
        <v>207.48</v>
      </c>
      <c r="F237" s="29">
        <v>0.99</v>
      </c>
      <c r="G237" s="30" t="s">
        <v>39</v>
      </c>
      <c r="H237" s="27" t="s">
        <v>40</v>
      </c>
      <c r="I237" s="27" t="s">
        <v>49</v>
      </c>
      <c r="J237" s="27" t="s">
        <v>95</v>
      </c>
      <c r="K237" s="27" t="s">
        <v>73</v>
      </c>
      <c r="L237" s="31" t="s">
        <v>636</v>
      </c>
      <c r="M237" s="32">
        <v>0.55000000000000004</v>
      </c>
      <c r="N237" s="27" t="s">
        <v>33</v>
      </c>
      <c r="O237" s="27" t="s">
        <v>111</v>
      </c>
      <c r="P237" s="27" t="s">
        <v>317</v>
      </c>
      <c r="Q237" s="27" t="s">
        <v>637</v>
      </c>
      <c r="R237" s="33">
        <v>45011</v>
      </c>
      <c r="S237" s="34">
        <v>42023</v>
      </c>
      <c r="T237" s="34">
        <v>42025</v>
      </c>
      <c r="U237" s="29">
        <v>683.9556</v>
      </c>
      <c r="V237" s="26">
        <v>5</v>
      </c>
      <c r="W237" s="29">
        <v>991.24</v>
      </c>
      <c r="X237" s="26">
        <v>86220</v>
      </c>
      <c r="Y237" s="35">
        <v>18.869999999999997</v>
      </c>
      <c r="Z237" s="1" t="s">
        <v>3014</v>
      </c>
      <c r="AA237" s="36">
        <v>93.365999999999985</v>
      </c>
      <c r="AB237" s="54">
        <v>446.05799999999994</v>
      </c>
      <c r="AC237" s="54">
        <v>109.0364</v>
      </c>
      <c r="AD237" s="36">
        <v>212.92840000000001</v>
      </c>
    </row>
    <row r="238" spans="1:30" s="37" customFormat="1" ht="15.75" customHeight="1" x14ac:dyDescent="0.2">
      <c r="A238" s="26">
        <v>659</v>
      </c>
      <c r="B238" s="27" t="s">
        <v>632</v>
      </c>
      <c r="C238" s="27" t="s">
        <v>26</v>
      </c>
      <c r="D238" s="28">
        <v>0</v>
      </c>
      <c r="E238" s="29">
        <v>119.99</v>
      </c>
      <c r="F238" s="29">
        <v>56.14</v>
      </c>
      <c r="G238" s="30" t="s">
        <v>27</v>
      </c>
      <c r="H238" s="27" t="s">
        <v>40</v>
      </c>
      <c r="I238" s="27" t="s">
        <v>41</v>
      </c>
      <c r="J238" s="27" t="s">
        <v>57</v>
      </c>
      <c r="K238" s="27" t="s">
        <v>31</v>
      </c>
      <c r="L238" s="31" t="s">
        <v>587</v>
      </c>
      <c r="M238" s="32">
        <v>0.39</v>
      </c>
      <c r="N238" s="27" t="s">
        <v>33</v>
      </c>
      <c r="O238" s="27" t="s">
        <v>111</v>
      </c>
      <c r="P238" s="27" t="s">
        <v>633</v>
      </c>
      <c r="Q238" s="27" t="s">
        <v>634</v>
      </c>
      <c r="R238" s="33">
        <v>5403</v>
      </c>
      <c r="S238" s="34">
        <v>42023</v>
      </c>
      <c r="T238" s="34">
        <v>42024</v>
      </c>
      <c r="U238" s="29">
        <v>-126.05777999999999</v>
      </c>
      <c r="V238" s="26">
        <v>5</v>
      </c>
      <c r="W238" s="29">
        <v>615.54</v>
      </c>
      <c r="X238" s="26">
        <v>91212</v>
      </c>
      <c r="Y238" s="35">
        <v>119.99</v>
      </c>
      <c r="Z238" s="1" t="s">
        <v>3014</v>
      </c>
      <c r="AA238" s="36">
        <v>0</v>
      </c>
      <c r="AB238" s="54">
        <v>375.47939999999994</v>
      </c>
      <c r="AC238" s="54">
        <v>48.012119999999996</v>
      </c>
      <c r="AD238" s="36">
        <v>685.45777999999996</v>
      </c>
    </row>
    <row r="239" spans="1:30" s="37" customFormat="1" ht="15.75" customHeight="1" x14ac:dyDescent="0.2">
      <c r="A239" s="26">
        <v>259</v>
      </c>
      <c r="B239" s="27" t="s">
        <v>638</v>
      </c>
      <c r="C239" s="27" t="s">
        <v>48</v>
      </c>
      <c r="D239" s="28">
        <v>0.09</v>
      </c>
      <c r="E239" s="29">
        <v>2.88</v>
      </c>
      <c r="F239" s="29">
        <v>0.7</v>
      </c>
      <c r="G239" s="30" t="s">
        <v>39</v>
      </c>
      <c r="H239" s="27" t="s">
        <v>40</v>
      </c>
      <c r="I239" s="27" t="s">
        <v>49</v>
      </c>
      <c r="J239" s="27" t="s">
        <v>50</v>
      </c>
      <c r="K239" s="27" t="s">
        <v>51</v>
      </c>
      <c r="L239" s="31" t="s">
        <v>639</v>
      </c>
      <c r="M239" s="32">
        <v>0.56000000000000005</v>
      </c>
      <c r="N239" s="27" t="s">
        <v>33</v>
      </c>
      <c r="O239" s="27" t="s">
        <v>60</v>
      </c>
      <c r="P239" s="27" t="s">
        <v>640</v>
      </c>
      <c r="Q239" s="27" t="s">
        <v>641</v>
      </c>
      <c r="R239" s="33">
        <v>87505</v>
      </c>
      <c r="S239" s="34">
        <v>42023</v>
      </c>
      <c r="T239" s="34">
        <v>42023</v>
      </c>
      <c r="U239" s="29">
        <v>5.7531999999999996</v>
      </c>
      <c r="V239" s="26">
        <v>10</v>
      </c>
      <c r="W239" s="29">
        <v>26.38</v>
      </c>
      <c r="X239" s="26">
        <v>85857</v>
      </c>
      <c r="Y239" s="35">
        <v>207.39</v>
      </c>
      <c r="Z239" s="1" t="s">
        <v>3013</v>
      </c>
      <c r="AA239" s="36">
        <v>2.5919999999999996</v>
      </c>
      <c r="AB239" s="54">
        <v>11.607199999999999</v>
      </c>
      <c r="AC239" s="54">
        <v>1.4772800000000001</v>
      </c>
      <c r="AD239" s="36">
        <v>17.334800000000001</v>
      </c>
    </row>
    <row r="240" spans="1:30" s="37" customFormat="1" ht="15.75" customHeight="1" x14ac:dyDescent="0.2">
      <c r="A240" s="26">
        <v>657</v>
      </c>
      <c r="B240" s="27" t="s">
        <v>629</v>
      </c>
      <c r="C240" s="27" t="s">
        <v>26</v>
      </c>
      <c r="D240" s="28">
        <v>0.1</v>
      </c>
      <c r="E240" s="29">
        <v>18.97</v>
      </c>
      <c r="F240" s="29">
        <v>9.0299999999999994</v>
      </c>
      <c r="G240" s="30" t="s">
        <v>39</v>
      </c>
      <c r="H240" s="27" t="s">
        <v>40</v>
      </c>
      <c r="I240" s="27" t="s">
        <v>49</v>
      </c>
      <c r="J240" s="27" t="s">
        <v>88</v>
      </c>
      <c r="K240" s="27" t="s">
        <v>73</v>
      </c>
      <c r="L240" s="31" t="s">
        <v>630</v>
      </c>
      <c r="M240" s="32">
        <v>0.37</v>
      </c>
      <c r="N240" s="27" t="s">
        <v>33</v>
      </c>
      <c r="O240" s="27" t="s">
        <v>111</v>
      </c>
      <c r="P240" s="27" t="s">
        <v>403</v>
      </c>
      <c r="Q240" s="27" t="s">
        <v>631</v>
      </c>
      <c r="R240" s="33">
        <v>1540</v>
      </c>
      <c r="S240" s="34">
        <v>42023</v>
      </c>
      <c r="T240" s="34">
        <v>42025</v>
      </c>
      <c r="U240" s="29">
        <v>-24.204799999999999</v>
      </c>
      <c r="V240" s="26">
        <v>1</v>
      </c>
      <c r="W240" s="29">
        <v>19.73</v>
      </c>
      <c r="X240" s="26">
        <v>91212</v>
      </c>
      <c r="Y240" s="35">
        <v>2.79</v>
      </c>
      <c r="Z240" s="1" t="s">
        <v>3014</v>
      </c>
      <c r="AA240" s="36">
        <v>1.897</v>
      </c>
      <c r="AB240" s="54">
        <v>12.4299</v>
      </c>
      <c r="AC240" s="54">
        <v>7.3001000000000005</v>
      </c>
      <c r="AD240" s="36">
        <v>33.007800000000003</v>
      </c>
    </row>
    <row r="241" spans="1:30" s="37" customFormat="1" ht="15.75" customHeight="1" x14ac:dyDescent="0.2">
      <c r="A241" s="26">
        <v>524</v>
      </c>
      <c r="B241" s="27" t="s">
        <v>651</v>
      </c>
      <c r="C241" s="27" t="s">
        <v>3094</v>
      </c>
      <c r="D241" s="28">
        <v>0.03</v>
      </c>
      <c r="E241" s="29">
        <v>1270.99</v>
      </c>
      <c r="F241" s="29">
        <v>19.989999999999998</v>
      </c>
      <c r="G241" s="30" t="s">
        <v>39</v>
      </c>
      <c r="H241" s="27" t="s">
        <v>40</v>
      </c>
      <c r="I241" s="27" t="s">
        <v>49</v>
      </c>
      <c r="J241" s="27" t="s">
        <v>72</v>
      </c>
      <c r="K241" s="27" t="s">
        <v>73</v>
      </c>
      <c r="L241" s="31" t="s">
        <v>652</v>
      </c>
      <c r="M241" s="32">
        <v>0.35</v>
      </c>
      <c r="N241" s="27" t="s">
        <v>33</v>
      </c>
      <c r="O241" s="27" t="s">
        <v>34</v>
      </c>
      <c r="P241" s="27" t="s">
        <v>400</v>
      </c>
      <c r="Q241" s="27" t="s">
        <v>653</v>
      </c>
      <c r="R241" s="33">
        <v>37922</v>
      </c>
      <c r="S241" s="34">
        <v>42024</v>
      </c>
      <c r="T241" s="34">
        <v>42026</v>
      </c>
      <c r="U241" s="29">
        <v>363.55200000000002</v>
      </c>
      <c r="V241" s="26">
        <v>2</v>
      </c>
      <c r="W241" s="29">
        <v>2589.0100000000002</v>
      </c>
      <c r="X241" s="26">
        <v>91127</v>
      </c>
      <c r="Y241" s="35">
        <v>60.199999999999996</v>
      </c>
      <c r="Z241" s="1" t="s">
        <v>3011</v>
      </c>
      <c r="AA241" s="36">
        <v>76.259399999999999</v>
      </c>
      <c r="AB241" s="54">
        <v>1682.8565000000001</v>
      </c>
      <c r="AC241" s="54">
        <v>453.07675</v>
      </c>
      <c r="AD241" s="36">
        <v>2129.2085999999999</v>
      </c>
    </row>
    <row r="242" spans="1:30" s="37" customFormat="1" ht="15.75" customHeight="1" x14ac:dyDescent="0.2">
      <c r="A242" s="26">
        <v>524</v>
      </c>
      <c r="B242" s="27" t="s">
        <v>651</v>
      </c>
      <c r="C242" s="27" t="s">
        <v>3094</v>
      </c>
      <c r="D242" s="28">
        <v>7.0000000000000007E-2</v>
      </c>
      <c r="E242" s="29">
        <v>2036.48</v>
      </c>
      <c r="F242" s="29">
        <v>14.7</v>
      </c>
      <c r="G242" s="30" t="s">
        <v>27</v>
      </c>
      <c r="H242" s="27" t="s">
        <v>40</v>
      </c>
      <c r="I242" s="27" t="s">
        <v>41</v>
      </c>
      <c r="J242" s="27" t="s">
        <v>57</v>
      </c>
      <c r="K242" s="27" t="s">
        <v>58</v>
      </c>
      <c r="L242" s="31" t="s">
        <v>59</v>
      </c>
      <c r="M242" s="32">
        <v>0.55000000000000004</v>
      </c>
      <c r="N242" s="27" t="s">
        <v>33</v>
      </c>
      <c r="O242" s="27" t="s">
        <v>34</v>
      </c>
      <c r="P242" s="27" t="s">
        <v>400</v>
      </c>
      <c r="Q242" s="27" t="s">
        <v>653</v>
      </c>
      <c r="R242" s="33">
        <v>37922</v>
      </c>
      <c r="S242" s="34">
        <v>42024</v>
      </c>
      <c r="T242" s="34">
        <v>42026</v>
      </c>
      <c r="U242" s="29">
        <v>-11.536</v>
      </c>
      <c r="V242" s="26">
        <v>1</v>
      </c>
      <c r="W242" s="29">
        <v>1893.93</v>
      </c>
      <c r="X242" s="26">
        <v>91127</v>
      </c>
      <c r="Y242" s="35">
        <v>125.89999999999999</v>
      </c>
      <c r="Z242" s="1" t="s">
        <v>3011</v>
      </c>
      <c r="AA242" s="36">
        <v>142.55360000000002</v>
      </c>
      <c r="AB242" s="54">
        <v>852.2684999999999</v>
      </c>
      <c r="AC242" s="54">
        <v>1041.6615000000002</v>
      </c>
      <c r="AD242" s="36">
        <v>1748.2124000000001</v>
      </c>
    </row>
    <row r="243" spans="1:30" s="37" customFormat="1" ht="15.75" customHeight="1" x14ac:dyDescent="0.2">
      <c r="A243" s="26">
        <v>32</v>
      </c>
      <c r="B243" s="27" t="s">
        <v>644</v>
      </c>
      <c r="C243" s="27" t="s">
        <v>116</v>
      </c>
      <c r="D243" s="28">
        <v>0.09</v>
      </c>
      <c r="E243" s="29">
        <v>125.99</v>
      </c>
      <c r="F243" s="29">
        <v>7.69</v>
      </c>
      <c r="G243" s="30" t="s">
        <v>87</v>
      </c>
      <c r="H243" s="27" t="s">
        <v>94</v>
      </c>
      <c r="I243" s="27" t="s">
        <v>41</v>
      </c>
      <c r="J243" s="27" t="s">
        <v>135</v>
      </c>
      <c r="K243" s="27" t="s">
        <v>73</v>
      </c>
      <c r="L243" s="31" t="s">
        <v>645</v>
      </c>
      <c r="M243" s="32">
        <v>0.59</v>
      </c>
      <c r="N243" s="27" t="s">
        <v>33</v>
      </c>
      <c r="O243" s="27" t="s">
        <v>60</v>
      </c>
      <c r="P243" s="27" t="s">
        <v>139</v>
      </c>
      <c r="Q243" s="27" t="s">
        <v>646</v>
      </c>
      <c r="R243" s="33">
        <v>97526</v>
      </c>
      <c r="S243" s="34">
        <v>42024</v>
      </c>
      <c r="T243" s="34">
        <v>42026</v>
      </c>
      <c r="U243" s="29">
        <v>209.99700000000001</v>
      </c>
      <c r="V243" s="26">
        <v>8</v>
      </c>
      <c r="W243" s="29">
        <v>783.55</v>
      </c>
      <c r="X243" s="26">
        <v>89202</v>
      </c>
      <c r="Y243" s="35">
        <v>6.4600000000000009</v>
      </c>
      <c r="Z243" s="1" t="s">
        <v>3013</v>
      </c>
      <c r="AA243" s="36">
        <v>90.712799999999987</v>
      </c>
      <c r="AB243" s="54">
        <v>321.25549999999998</v>
      </c>
      <c r="AC243" s="54">
        <v>57.786812499999996</v>
      </c>
      <c r="AD243" s="36">
        <v>475.15019999999993</v>
      </c>
    </row>
    <row r="244" spans="1:30" s="37" customFormat="1" ht="15.75" customHeight="1" x14ac:dyDescent="0.2">
      <c r="A244" s="26">
        <v>3155</v>
      </c>
      <c r="B244" s="27" t="s">
        <v>642</v>
      </c>
      <c r="C244" s="27" t="s">
        <v>26</v>
      </c>
      <c r="D244" s="28">
        <v>0.02</v>
      </c>
      <c r="E244" s="29">
        <v>60.22</v>
      </c>
      <c r="F244" s="29">
        <v>3.5</v>
      </c>
      <c r="G244" s="30" t="s">
        <v>39</v>
      </c>
      <c r="H244" s="27" t="s">
        <v>94</v>
      </c>
      <c r="I244" s="27" t="s">
        <v>49</v>
      </c>
      <c r="J244" s="27" t="s">
        <v>95</v>
      </c>
      <c r="K244" s="27" t="s">
        <v>73</v>
      </c>
      <c r="L244" s="31" t="s">
        <v>643</v>
      </c>
      <c r="M244" s="32">
        <v>0.56999999999999995</v>
      </c>
      <c r="N244" s="27" t="s">
        <v>33</v>
      </c>
      <c r="O244" s="27" t="s">
        <v>34</v>
      </c>
      <c r="P244" s="27" t="s">
        <v>123</v>
      </c>
      <c r="Q244" s="27" t="s">
        <v>332</v>
      </c>
      <c r="R244" s="33">
        <v>32771</v>
      </c>
      <c r="S244" s="34">
        <v>42024</v>
      </c>
      <c r="T244" s="34">
        <v>42025</v>
      </c>
      <c r="U244" s="29">
        <v>-193.91399999999999</v>
      </c>
      <c r="V244" s="26">
        <v>9</v>
      </c>
      <c r="W244" s="29">
        <v>541.76</v>
      </c>
      <c r="X244" s="26">
        <v>86898</v>
      </c>
      <c r="Y244" s="35">
        <v>17.11</v>
      </c>
      <c r="Z244" s="1" t="s">
        <v>3011</v>
      </c>
      <c r="AA244" s="36">
        <v>10.839599999999999</v>
      </c>
      <c r="AB244" s="54">
        <v>232.95680000000002</v>
      </c>
      <c r="AC244" s="54">
        <v>34.311466666666668</v>
      </c>
      <c r="AD244" s="36">
        <v>721.33439999999996</v>
      </c>
    </row>
    <row r="245" spans="1:30" s="37" customFormat="1" ht="15.75" customHeight="1" x14ac:dyDescent="0.2">
      <c r="A245" s="26">
        <v>493</v>
      </c>
      <c r="B245" s="27" t="s">
        <v>647</v>
      </c>
      <c r="C245" s="27" t="s">
        <v>3094</v>
      </c>
      <c r="D245" s="28">
        <v>0.04</v>
      </c>
      <c r="E245" s="29">
        <v>17.149999999999999</v>
      </c>
      <c r="F245" s="29">
        <v>4.96</v>
      </c>
      <c r="G245" s="30" t="s">
        <v>39</v>
      </c>
      <c r="H245" s="27" t="s">
        <v>40</v>
      </c>
      <c r="I245" s="27" t="s">
        <v>49</v>
      </c>
      <c r="J245" s="27" t="s">
        <v>78</v>
      </c>
      <c r="K245" s="27" t="s">
        <v>73</v>
      </c>
      <c r="L245" s="31" t="s">
        <v>650</v>
      </c>
      <c r="M245" s="32">
        <v>0.57999999999999996</v>
      </c>
      <c r="N245" s="27" t="s">
        <v>33</v>
      </c>
      <c r="O245" s="27" t="s">
        <v>60</v>
      </c>
      <c r="P245" s="27" t="s">
        <v>67</v>
      </c>
      <c r="Q245" s="27" t="s">
        <v>649</v>
      </c>
      <c r="R245" s="33">
        <v>98158</v>
      </c>
      <c r="S245" s="34">
        <v>42024</v>
      </c>
      <c r="T245" s="34">
        <v>42025</v>
      </c>
      <c r="U245" s="29">
        <v>6.11</v>
      </c>
      <c r="V245" s="26">
        <v>5</v>
      </c>
      <c r="W245" s="29">
        <v>87.16</v>
      </c>
      <c r="X245" s="26">
        <v>88906</v>
      </c>
      <c r="Y245" s="35">
        <v>1270.96</v>
      </c>
      <c r="Z245" s="1" t="s">
        <v>3013</v>
      </c>
      <c r="AA245" s="36">
        <v>3.4299999999999997</v>
      </c>
      <c r="AB245" s="54">
        <v>36.607199999999999</v>
      </c>
      <c r="AC245" s="54">
        <v>10.110559999999998</v>
      </c>
      <c r="AD245" s="36">
        <v>72.66</v>
      </c>
    </row>
    <row r="246" spans="1:30" s="37" customFormat="1" ht="15.75" customHeight="1" x14ac:dyDescent="0.2">
      <c r="A246" s="26">
        <v>493</v>
      </c>
      <c r="B246" s="27" t="s">
        <v>647</v>
      </c>
      <c r="C246" s="27" t="s">
        <v>3094</v>
      </c>
      <c r="D246" s="28">
        <v>0.02</v>
      </c>
      <c r="E246" s="29">
        <v>6.48</v>
      </c>
      <c r="F246" s="29">
        <v>6.6</v>
      </c>
      <c r="G246" s="30" t="s">
        <v>39</v>
      </c>
      <c r="H246" s="27" t="s">
        <v>40</v>
      </c>
      <c r="I246" s="27" t="s">
        <v>49</v>
      </c>
      <c r="J246" s="27" t="s">
        <v>88</v>
      </c>
      <c r="K246" s="27" t="s">
        <v>73</v>
      </c>
      <c r="L246" s="31" t="s">
        <v>648</v>
      </c>
      <c r="M246" s="32">
        <v>0.37</v>
      </c>
      <c r="N246" s="27" t="s">
        <v>33</v>
      </c>
      <c r="O246" s="27" t="s">
        <v>60</v>
      </c>
      <c r="P246" s="27" t="s">
        <v>67</v>
      </c>
      <c r="Q246" s="27" t="s">
        <v>649</v>
      </c>
      <c r="R246" s="33">
        <v>98158</v>
      </c>
      <c r="S246" s="34">
        <v>42024</v>
      </c>
      <c r="T246" s="34">
        <v>42026</v>
      </c>
      <c r="U246" s="29">
        <v>-92.05</v>
      </c>
      <c r="V246" s="26">
        <v>10</v>
      </c>
      <c r="W246" s="29">
        <v>66.709999999999994</v>
      </c>
      <c r="X246" s="26">
        <v>88906</v>
      </c>
      <c r="Y246" s="35">
        <v>2036.41</v>
      </c>
      <c r="Z246" s="1" t="s">
        <v>3013</v>
      </c>
      <c r="AA246" s="36">
        <v>1.2960000000000003</v>
      </c>
      <c r="AB246" s="54">
        <v>42.027299999999997</v>
      </c>
      <c r="AC246" s="54">
        <v>2.4682699999999995</v>
      </c>
      <c r="AD246" s="36">
        <v>150.86399999999998</v>
      </c>
    </row>
    <row r="247" spans="1:30" s="37" customFormat="1" ht="15.75" customHeight="1" x14ac:dyDescent="0.2">
      <c r="A247" s="26">
        <v>549</v>
      </c>
      <c r="B247" s="27" t="s">
        <v>654</v>
      </c>
      <c r="C247" s="27" t="s">
        <v>3094</v>
      </c>
      <c r="D247" s="28">
        <v>0.02</v>
      </c>
      <c r="E247" s="29">
        <v>7.1</v>
      </c>
      <c r="F247" s="29">
        <v>6.05</v>
      </c>
      <c r="G247" s="30" t="s">
        <v>39</v>
      </c>
      <c r="H247" s="27" t="s">
        <v>94</v>
      </c>
      <c r="I247" s="27" t="s">
        <v>49</v>
      </c>
      <c r="J247" s="27" t="s">
        <v>72</v>
      </c>
      <c r="K247" s="27" t="s">
        <v>73</v>
      </c>
      <c r="L247" s="31" t="s">
        <v>251</v>
      </c>
      <c r="M247" s="32">
        <v>0.39</v>
      </c>
      <c r="N247" s="27" t="s">
        <v>33</v>
      </c>
      <c r="O247" s="27" t="s">
        <v>60</v>
      </c>
      <c r="P247" s="27" t="s">
        <v>640</v>
      </c>
      <c r="Q247" s="27" t="s">
        <v>195</v>
      </c>
      <c r="R247" s="33">
        <v>88201</v>
      </c>
      <c r="S247" s="34">
        <v>42024</v>
      </c>
      <c r="T247" s="34">
        <v>42024</v>
      </c>
      <c r="U247" s="29">
        <v>-66.378</v>
      </c>
      <c r="V247" s="26">
        <v>9</v>
      </c>
      <c r="W247" s="29">
        <v>66.319999999999993</v>
      </c>
      <c r="X247" s="26">
        <v>90908</v>
      </c>
      <c r="Y247" s="35">
        <v>7.08</v>
      </c>
      <c r="Z247" s="1" t="s">
        <v>3013</v>
      </c>
      <c r="AA247" s="36">
        <v>1.2779999999999998</v>
      </c>
      <c r="AB247" s="54">
        <v>40.455199999999998</v>
      </c>
      <c r="AC247" s="54">
        <v>2.8738666666666663</v>
      </c>
      <c r="AD247" s="36">
        <v>125.37</v>
      </c>
    </row>
    <row r="248" spans="1:30" s="37" customFormat="1" ht="15.75" customHeight="1" x14ac:dyDescent="0.2">
      <c r="A248" s="26">
        <v>2464</v>
      </c>
      <c r="B248" s="27" t="s">
        <v>655</v>
      </c>
      <c r="C248" s="27" t="s">
        <v>3094</v>
      </c>
      <c r="D248" s="28">
        <v>0.04</v>
      </c>
      <c r="E248" s="29">
        <v>3.08</v>
      </c>
      <c r="F248" s="29">
        <v>0.99</v>
      </c>
      <c r="G248" s="30" t="s">
        <v>39</v>
      </c>
      <c r="H248" s="27" t="s">
        <v>40</v>
      </c>
      <c r="I248" s="27" t="s">
        <v>49</v>
      </c>
      <c r="J248" s="27" t="s">
        <v>152</v>
      </c>
      <c r="K248" s="27" t="s">
        <v>73</v>
      </c>
      <c r="L248" s="31" t="s">
        <v>658</v>
      </c>
      <c r="M248" s="32">
        <v>0.37</v>
      </c>
      <c r="N248" s="27" t="s">
        <v>33</v>
      </c>
      <c r="O248" s="27" t="s">
        <v>34</v>
      </c>
      <c r="P248" s="27" t="s">
        <v>168</v>
      </c>
      <c r="Q248" s="27" t="s">
        <v>657</v>
      </c>
      <c r="R248" s="33">
        <v>71111</v>
      </c>
      <c r="S248" s="34">
        <v>42024</v>
      </c>
      <c r="T248" s="34">
        <v>42025</v>
      </c>
      <c r="U248" s="29">
        <v>424.29</v>
      </c>
      <c r="V248" s="26">
        <v>14</v>
      </c>
      <c r="W248" s="29">
        <v>42.53</v>
      </c>
      <c r="X248" s="26">
        <v>88714</v>
      </c>
      <c r="Y248" s="35">
        <v>6.23</v>
      </c>
      <c r="Z248" s="1" t="s">
        <v>3011</v>
      </c>
      <c r="AA248" s="36">
        <v>1.7248000000000001</v>
      </c>
      <c r="AB248" s="54">
        <v>26.793900000000001</v>
      </c>
      <c r="AC248" s="54">
        <v>1.1240071428571428</v>
      </c>
      <c r="AD248" s="36">
        <v>-384.47480000000007</v>
      </c>
    </row>
    <row r="249" spans="1:30" s="37" customFormat="1" ht="15.75" customHeight="1" x14ac:dyDescent="0.2">
      <c r="A249" s="26">
        <v>2464</v>
      </c>
      <c r="B249" s="27" t="s">
        <v>655</v>
      </c>
      <c r="C249" s="27" t="s">
        <v>3094</v>
      </c>
      <c r="D249" s="28">
        <v>0.05</v>
      </c>
      <c r="E249" s="29">
        <v>6.28</v>
      </c>
      <c r="F249" s="29">
        <v>5.36</v>
      </c>
      <c r="G249" s="30" t="s">
        <v>39</v>
      </c>
      <c r="H249" s="27" t="s">
        <v>40</v>
      </c>
      <c r="I249" s="27" t="s">
        <v>49</v>
      </c>
      <c r="J249" s="27" t="s">
        <v>72</v>
      </c>
      <c r="K249" s="27" t="s">
        <v>73</v>
      </c>
      <c r="L249" s="31" t="s">
        <v>656</v>
      </c>
      <c r="M249" s="32">
        <v>0.4</v>
      </c>
      <c r="N249" s="27" t="s">
        <v>33</v>
      </c>
      <c r="O249" s="27" t="s">
        <v>34</v>
      </c>
      <c r="P249" s="27" t="s">
        <v>168</v>
      </c>
      <c r="Q249" s="27" t="s">
        <v>657</v>
      </c>
      <c r="R249" s="33">
        <v>71111</v>
      </c>
      <c r="S249" s="34">
        <v>42024</v>
      </c>
      <c r="T249" s="34">
        <v>42027</v>
      </c>
      <c r="U249" s="29">
        <v>1.278</v>
      </c>
      <c r="V249" s="26">
        <v>6</v>
      </c>
      <c r="W249" s="29">
        <v>38.04</v>
      </c>
      <c r="X249" s="26">
        <v>88714</v>
      </c>
      <c r="Y249" s="35">
        <v>3.04</v>
      </c>
      <c r="Z249" s="1" t="s">
        <v>3011</v>
      </c>
      <c r="AA249" s="36">
        <v>1.8840000000000003</v>
      </c>
      <c r="AB249" s="54">
        <v>22.823999999999998</v>
      </c>
      <c r="AC249" s="54">
        <v>2.536</v>
      </c>
      <c r="AD249" s="36">
        <v>29.518000000000001</v>
      </c>
    </row>
    <row r="250" spans="1:30" s="37" customFormat="1" ht="15.75" customHeight="1" x14ac:dyDescent="0.2">
      <c r="A250" s="26">
        <v>1989</v>
      </c>
      <c r="B250" s="27" t="s">
        <v>693</v>
      </c>
      <c r="C250" s="27" t="s">
        <v>3094</v>
      </c>
      <c r="D250" s="28">
        <v>0.04</v>
      </c>
      <c r="E250" s="29">
        <v>355.98</v>
      </c>
      <c r="F250" s="29">
        <v>58.92</v>
      </c>
      <c r="G250" s="30" t="s">
        <v>27</v>
      </c>
      <c r="H250" s="27" t="s">
        <v>71</v>
      </c>
      <c r="I250" s="27" t="s">
        <v>29</v>
      </c>
      <c r="J250" s="27" t="s">
        <v>109</v>
      </c>
      <c r="K250" s="27" t="s">
        <v>58</v>
      </c>
      <c r="L250" s="31" t="s">
        <v>694</v>
      </c>
      <c r="M250" s="32">
        <v>0.64</v>
      </c>
      <c r="N250" s="27" t="s">
        <v>33</v>
      </c>
      <c r="O250" s="27" t="s">
        <v>60</v>
      </c>
      <c r="P250" s="27" t="s">
        <v>146</v>
      </c>
      <c r="Q250" s="27" t="s">
        <v>695</v>
      </c>
      <c r="R250" s="33">
        <v>84117</v>
      </c>
      <c r="S250" s="34">
        <v>42025</v>
      </c>
      <c r="T250" s="34">
        <v>42026</v>
      </c>
      <c r="U250" s="29">
        <v>882.93</v>
      </c>
      <c r="V250" s="26">
        <v>8</v>
      </c>
      <c r="W250" s="29">
        <v>2748.21</v>
      </c>
      <c r="X250" s="26">
        <v>90000</v>
      </c>
      <c r="Y250" s="35">
        <v>9.74</v>
      </c>
      <c r="Z250" s="1" t="s">
        <v>3013</v>
      </c>
      <c r="AA250" s="36">
        <v>113.9136</v>
      </c>
      <c r="AB250" s="54">
        <v>989.35559999999998</v>
      </c>
      <c r="AC250" s="54">
        <v>219.85680000000002</v>
      </c>
      <c r="AD250" s="36">
        <v>1692.4464</v>
      </c>
    </row>
    <row r="251" spans="1:30" s="37" customFormat="1" ht="15.75" customHeight="1" x14ac:dyDescent="0.2">
      <c r="A251" s="26">
        <v>1928</v>
      </c>
      <c r="B251" s="27" t="s">
        <v>690</v>
      </c>
      <c r="C251" s="27" t="s">
        <v>3094</v>
      </c>
      <c r="D251" s="28">
        <v>0.1</v>
      </c>
      <c r="E251" s="29">
        <v>1889.99</v>
      </c>
      <c r="F251" s="29">
        <v>19.989999999999998</v>
      </c>
      <c r="G251" s="30" t="s">
        <v>39</v>
      </c>
      <c r="H251" s="27" t="s">
        <v>71</v>
      </c>
      <c r="I251" s="27" t="s">
        <v>49</v>
      </c>
      <c r="J251" s="27" t="s">
        <v>72</v>
      </c>
      <c r="K251" s="27" t="s">
        <v>73</v>
      </c>
      <c r="L251" s="31" t="s">
        <v>691</v>
      </c>
      <c r="M251" s="32">
        <v>0.36</v>
      </c>
      <c r="N251" s="27" t="s">
        <v>33</v>
      </c>
      <c r="O251" s="27" t="s">
        <v>34</v>
      </c>
      <c r="P251" s="27" t="s">
        <v>271</v>
      </c>
      <c r="Q251" s="27" t="s">
        <v>692</v>
      </c>
      <c r="R251" s="33">
        <v>29651</v>
      </c>
      <c r="S251" s="34">
        <v>42025</v>
      </c>
      <c r="T251" s="34">
        <v>42025</v>
      </c>
      <c r="U251" s="29">
        <v>-42.545999999999999</v>
      </c>
      <c r="V251" s="26">
        <v>1</v>
      </c>
      <c r="W251" s="29">
        <v>1786.04</v>
      </c>
      <c r="X251" s="26">
        <v>88580</v>
      </c>
      <c r="Y251" s="35">
        <v>205.95000000000002</v>
      </c>
      <c r="Z251" s="1" t="s">
        <v>3011</v>
      </c>
      <c r="AA251" s="36">
        <v>188.99900000000002</v>
      </c>
      <c r="AB251" s="54">
        <v>1143.0655999999999</v>
      </c>
      <c r="AC251" s="54">
        <v>642.97439999999995</v>
      </c>
      <c r="AD251" s="36">
        <v>1619.597</v>
      </c>
    </row>
    <row r="252" spans="1:30" s="37" customFormat="1" ht="15.75" customHeight="1" x14ac:dyDescent="0.2">
      <c r="A252" s="26">
        <v>2882</v>
      </c>
      <c r="B252" s="27" t="s">
        <v>671</v>
      </c>
      <c r="C252" s="27" t="s">
        <v>48</v>
      </c>
      <c r="D252" s="28">
        <v>0.02</v>
      </c>
      <c r="E252" s="29">
        <v>43.98</v>
      </c>
      <c r="F252" s="29">
        <v>1.99</v>
      </c>
      <c r="G252" s="30" t="s">
        <v>39</v>
      </c>
      <c r="H252" s="27" t="s">
        <v>40</v>
      </c>
      <c r="I252" s="27" t="s">
        <v>41</v>
      </c>
      <c r="J252" s="27" t="s">
        <v>42</v>
      </c>
      <c r="K252" s="27" t="s">
        <v>43</v>
      </c>
      <c r="L252" s="31" t="s">
        <v>672</v>
      </c>
      <c r="M252" s="32">
        <v>0.44</v>
      </c>
      <c r="N252" s="27" t="s">
        <v>33</v>
      </c>
      <c r="O252" s="27" t="s">
        <v>34</v>
      </c>
      <c r="P252" s="27" t="s">
        <v>97</v>
      </c>
      <c r="Q252" s="27" t="s">
        <v>673</v>
      </c>
      <c r="R252" s="33">
        <v>28206</v>
      </c>
      <c r="S252" s="34">
        <v>42025</v>
      </c>
      <c r="T252" s="34">
        <v>42029</v>
      </c>
      <c r="U252" s="29">
        <v>333.76049999999998</v>
      </c>
      <c r="V252" s="26">
        <v>40</v>
      </c>
      <c r="W252" s="29">
        <v>1724.01</v>
      </c>
      <c r="X252" s="26">
        <v>50917</v>
      </c>
      <c r="Y252" s="35">
        <v>31.71</v>
      </c>
      <c r="Z252" s="1" t="s">
        <v>3011</v>
      </c>
      <c r="AA252" s="36">
        <v>35.183999999999997</v>
      </c>
      <c r="AB252" s="54">
        <v>965.44560000000013</v>
      </c>
      <c r="AC252" s="54">
        <v>18.964110000000002</v>
      </c>
      <c r="AD252" s="36">
        <v>1353.0754999999999</v>
      </c>
    </row>
    <row r="253" spans="1:30" s="37" customFormat="1" ht="15.75" customHeight="1" x14ac:dyDescent="0.2">
      <c r="A253" s="26">
        <v>1402</v>
      </c>
      <c r="B253" s="27" t="s">
        <v>531</v>
      </c>
      <c r="C253" s="27" t="s">
        <v>116</v>
      </c>
      <c r="D253" s="28">
        <v>0.04</v>
      </c>
      <c r="E253" s="29">
        <v>30.73</v>
      </c>
      <c r="F253" s="29">
        <v>4</v>
      </c>
      <c r="G253" s="30" t="s">
        <v>39</v>
      </c>
      <c r="H253" s="27" t="s">
        <v>71</v>
      </c>
      <c r="I253" s="27" t="s">
        <v>41</v>
      </c>
      <c r="J253" s="27" t="s">
        <v>42</v>
      </c>
      <c r="K253" s="27" t="s">
        <v>73</v>
      </c>
      <c r="L253" s="31" t="s">
        <v>674</v>
      </c>
      <c r="M253" s="32">
        <v>0.75</v>
      </c>
      <c r="N253" s="27" t="s">
        <v>33</v>
      </c>
      <c r="O253" s="27" t="s">
        <v>53</v>
      </c>
      <c r="P253" s="27" t="s">
        <v>103</v>
      </c>
      <c r="Q253" s="27" t="s">
        <v>533</v>
      </c>
      <c r="R253" s="33">
        <v>60653</v>
      </c>
      <c r="S253" s="34">
        <v>42025</v>
      </c>
      <c r="T253" s="34">
        <v>42026</v>
      </c>
      <c r="U253" s="29">
        <v>-20.79</v>
      </c>
      <c r="V253" s="26">
        <v>48</v>
      </c>
      <c r="W253" s="29">
        <v>1420.84</v>
      </c>
      <c r="X253" s="26">
        <v>43079</v>
      </c>
      <c r="Y253" s="35">
        <v>100.94</v>
      </c>
      <c r="Z253" s="1" t="s">
        <v>3012</v>
      </c>
      <c r="AA253" s="36">
        <v>59.001600000000003</v>
      </c>
      <c r="AB253" s="54">
        <v>355.21</v>
      </c>
      <c r="AC253" s="54">
        <v>22.200624999999999</v>
      </c>
      <c r="AD253" s="36">
        <v>1378.6283999999998</v>
      </c>
    </row>
    <row r="254" spans="1:30" s="37" customFormat="1" ht="15.75" customHeight="1" x14ac:dyDescent="0.2">
      <c r="A254" s="26">
        <v>2855</v>
      </c>
      <c r="B254" s="27" t="s">
        <v>678</v>
      </c>
      <c r="C254" s="27" t="s">
        <v>116</v>
      </c>
      <c r="D254" s="28">
        <v>0.03</v>
      </c>
      <c r="E254" s="29">
        <v>105.34</v>
      </c>
      <c r="F254" s="29">
        <v>24.49</v>
      </c>
      <c r="G254" s="30" t="s">
        <v>39</v>
      </c>
      <c r="H254" s="27" t="s">
        <v>94</v>
      </c>
      <c r="I254" s="27" t="s">
        <v>29</v>
      </c>
      <c r="J254" s="27" t="s">
        <v>126</v>
      </c>
      <c r="K254" s="27" t="s">
        <v>65</v>
      </c>
      <c r="L254" s="31" t="s">
        <v>681</v>
      </c>
      <c r="M254" s="32">
        <v>0.61</v>
      </c>
      <c r="N254" s="27" t="s">
        <v>33</v>
      </c>
      <c r="O254" s="27" t="s">
        <v>60</v>
      </c>
      <c r="P254" s="27" t="s">
        <v>67</v>
      </c>
      <c r="Q254" s="27" t="s">
        <v>680</v>
      </c>
      <c r="R254" s="33">
        <v>98198</v>
      </c>
      <c r="S254" s="34">
        <v>42025</v>
      </c>
      <c r="T254" s="34">
        <v>42026</v>
      </c>
      <c r="U254" s="29">
        <v>618.13080000000002</v>
      </c>
      <c r="V254" s="26">
        <v>10</v>
      </c>
      <c r="W254" s="29">
        <v>1038.1400000000001</v>
      </c>
      <c r="X254" s="26">
        <v>87316</v>
      </c>
      <c r="Y254" s="35">
        <v>43.959999999999994</v>
      </c>
      <c r="Z254" s="1" t="s">
        <v>3013</v>
      </c>
      <c r="AA254" s="36">
        <v>31.602</v>
      </c>
      <c r="AB254" s="54">
        <v>404.87460000000004</v>
      </c>
      <c r="AC254" s="54">
        <v>63.326540000000001</v>
      </c>
      <c r="AD254" s="36">
        <v>363.91720000000009</v>
      </c>
    </row>
    <row r="255" spans="1:30" s="37" customFormat="1" ht="15.75" customHeight="1" x14ac:dyDescent="0.2">
      <c r="A255" s="26">
        <v>1788</v>
      </c>
      <c r="B255" s="27" t="s">
        <v>662</v>
      </c>
      <c r="C255" s="27" t="s">
        <v>26</v>
      </c>
      <c r="D255" s="28">
        <v>0.04</v>
      </c>
      <c r="E255" s="29">
        <v>205.99</v>
      </c>
      <c r="F255" s="29">
        <v>8.99</v>
      </c>
      <c r="G255" s="30" t="s">
        <v>39</v>
      </c>
      <c r="H255" s="27" t="s">
        <v>40</v>
      </c>
      <c r="I255" s="27" t="s">
        <v>41</v>
      </c>
      <c r="J255" s="27" t="s">
        <v>135</v>
      </c>
      <c r="K255" s="27" t="s">
        <v>73</v>
      </c>
      <c r="L255" s="31" t="s">
        <v>663</v>
      </c>
      <c r="M255" s="32">
        <v>0.56000000000000005</v>
      </c>
      <c r="N255" s="27" t="s">
        <v>33</v>
      </c>
      <c r="O255" s="27" t="s">
        <v>34</v>
      </c>
      <c r="P255" s="27" t="s">
        <v>75</v>
      </c>
      <c r="Q255" s="27" t="s">
        <v>664</v>
      </c>
      <c r="R255" s="33">
        <v>30188</v>
      </c>
      <c r="S255" s="34">
        <v>42025</v>
      </c>
      <c r="T255" s="34">
        <v>42026</v>
      </c>
      <c r="U255" s="29">
        <v>960.98400000000004</v>
      </c>
      <c r="V255" s="26">
        <v>6</v>
      </c>
      <c r="W255" s="29">
        <v>1008.53</v>
      </c>
      <c r="X255" s="26">
        <v>88256</v>
      </c>
      <c r="Y255" s="35">
        <v>30.69</v>
      </c>
      <c r="Z255" s="1" t="s">
        <v>3011</v>
      </c>
      <c r="AA255" s="36">
        <v>49.437600000000003</v>
      </c>
      <c r="AB255" s="54">
        <v>443.75319999999994</v>
      </c>
      <c r="AC255" s="54">
        <v>94.129466666666673</v>
      </c>
      <c r="AD255" s="36">
        <v>-10.881600000000049</v>
      </c>
    </row>
    <row r="256" spans="1:30" s="37" customFormat="1" ht="15.75" customHeight="1" x14ac:dyDescent="0.2">
      <c r="A256" s="26">
        <v>2423</v>
      </c>
      <c r="B256" s="27" t="s">
        <v>668</v>
      </c>
      <c r="C256" s="27" t="s">
        <v>48</v>
      </c>
      <c r="D256" s="28">
        <v>0.04</v>
      </c>
      <c r="E256" s="29">
        <v>100.98</v>
      </c>
      <c r="F256" s="29">
        <v>7.18</v>
      </c>
      <c r="G256" s="30" t="s">
        <v>39</v>
      </c>
      <c r="H256" s="27" t="s">
        <v>71</v>
      </c>
      <c r="I256" s="27" t="s">
        <v>41</v>
      </c>
      <c r="J256" s="27" t="s">
        <v>42</v>
      </c>
      <c r="K256" s="27" t="s">
        <v>73</v>
      </c>
      <c r="L256" s="31" t="s">
        <v>669</v>
      </c>
      <c r="M256" s="32">
        <v>0.4</v>
      </c>
      <c r="N256" s="27" t="s">
        <v>33</v>
      </c>
      <c r="O256" s="27" t="s">
        <v>53</v>
      </c>
      <c r="P256" s="27" t="s">
        <v>187</v>
      </c>
      <c r="Q256" s="27" t="s">
        <v>670</v>
      </c>
      <c r="R256" s="33">
        <v>76053</v>
      </c>
      <c r="S256" s="34">
        <v>42025</v>
      </c>
      <c r="T256" s="34">
        <v>42030</v>
      </c>
      <c r="U256" s="29">
        <v>269.94</v>
      </c>
      <c r="V256" s="26">
        <v>4</v>
      </c>
      <c r="W256" s="29">
        <v>414.91</v>
      </c>
      <c r="X256" s="26">
        <v>89054</v>
      </c>
      <c r="Y256" s="35">
        <v>30.69</v>
      </c>
      <c r="Z256" s="1" t="s">
        <v>3012</v>
      </c>
      <c r="AA256" s="36">
        <v>16.1568</v>
      </c>
      <c r="AB256" s="54">
        <v>248.946</v>
      </c>
      <c r="AC256" s="54">
        <v>41.491000000000007</v>
      </c>
      <c r="AD256" s="36">
        <v>121.63320000000004</v>
      </c>
    </row>
    <row r="257" spans="1:30" s="37" customFormat="1" ht="15.75" customHeight="1" x14ac:dyDescent="0.2">
      <c r="A257" s="26">
        <v>2796</v>
      </c>
      <c r="B257" s="27" t="s">
        <v>675</v>
      </c>
      <c r="C257" s="27" t="s">
        <v>116</v>
      </c>
      <c r="D257" s="28">
        <v>0.02</v>
      </c>
      <c r="E257" s="29">
        <v>30.44</v>
      </c>
      <c r="F257" s="29">
        <v>1.49</v>
      </c>
      <c r="G257" s="30" t="s">
        <v>39</v>
      </c>
      <c r="H257" s="27" t="s">
        <v>94</v>
      </c>
      <c r="I257" s="27" t="s">
        <v>49</v>
      </c>
      <c r="J257" s="27" t="s">
        <v>72</v>
      </c>
      <c r="K257" s="27" t="s">
        <v>73</v>
      </c>
      <c r="L257" s="31" t="s">
        <v>676</v>
      </c>
      <c r="M257" s="32">
        <v>0.37</v>
      </c>
      <c r="N257" s="27" t="s">
        <v>33</v>
      </c>
      <c r="O257" s="27" t="s">
        <v>53</v>
      </c>
      <c r="P257" s="27" t="s">
        <v>213</v>
      </c>
      <c r="Q257" s="27" t="s">
        <v>677</v>
      </c>
      <c r="R257" s="33">
        <v>51106</v>
      </c>
      <c r="S257" s="34">
        <v>42025</v>
      </c>
      <c r="T257" s="34">
        <v>42027</v>
      </c>
      <c r="U257" s="29">
        <v>266.76089999999999</v>
      </c>
      <c r="V257" s="26">
        <v>12</v>
      </c>
      <c r="W257" s="29">
        <v>386.61</v>
      </c>
      <c r="X257" s="26">
        <v>87553</v>
      </c>
      <c r="Y257" s="35">
        <v>30.42</v>
      </c>
      <c r="Z257" s="1" t="s">
        <v>3012</v>
      </c>
      <c r="AA257" s="36">
        <v>7.3056000000000001</v>
      </c>
      <c r="AB257" s="54">
        <v>243.5643</v>
      </c>
      <c r="AC257" s="54">
        <v>11.920475</v>
      </c>
      <c r="AD257" s="36">
        <v>111.05349999999999</v>
      </c>
    </row>
    <row r="258" spans="1:30" s="37" customFormat="1" ht="15.75" customHeight="1" x14ac:dyDescent="0.2">
      <c r="A258" s="26">
        <v>3229</v>
      </c>
      <c r="B258" s="27" t="s">
        <v>697</v>
      </c>
      <c r="C258" s="27" t="s">
        <v>3094</v>
      </c>
      <c r="D258" s="28">
        <v>0.01</v>
      </c>
      <c r="E258" s="29">
        <v>24.95</v>
      </c>
      <c r="F258" s="29">
        <v>2.99</v>
      </c>
      <c r="G258" s="30" t="s">
        <v>39</v>
      </c>
      <c r="H258" s="27" t="s">
        <v>3095</v>
      </c>
      <c r="I258" s="27" t="s">
        <v>49</v>
      </c>
      <c r="J258" s="27" t="s">
        <v>72</v>
      </c>
      <c r="K258" s="27" t="s">
        <v>73</v>
      </c>
      <c r="L258" s="31" t="s">
        <v>698</v>
      </c>
      <c r="M258" s="32">
        <v>0.39</v>
      </c>
      <c r="N258" s="27" t="s">
        <v>33</v>
      </c>
      <c r="O258" s="27" t="s">
        <v>53</v>
      </c>
      <c r="P258" s="27" t="s">
        <v>357</v>
      </c>
      <c r="Q258" s="27" t="s">
        <v>699</v>
      </c>
      <c r="R258" s="33">
        <v>54880</v>
      </c>
      <c r="S258" s="34">
        <v>42025</v>
      </c>
      <c r="T258" s="34">
        <v>42026</v>
      </c>
      <c r="U258" s="29">
        <v>261.38580000000002</v>
      </c>
      <c r="V258" s="26">
        <v>15</v>
      </c>
      <c r="W258" s="29">
        <v>378.82</v>
      </c>
      <c r="X258" s="26">
        <v>87435</v>
      </c>
      <c r="Y258" s="35">
        <v>4.8900000000000006</v>
      </c>
      <c r="Z258" s="1" t="s">
        <v>3012</v>
      </c>
      <c r="AA258" s="36">
        <v>3.7425000000000002</v>
      </c>
      <c r="AB258" s="54">
        <v>231.08019999999999</v>
      </c>
      <c r="AC258" s="54">
        <v>9.8493200000000005</v>
      </c>
      <c r="AD258" s="36">
        <v>110.70169999999996</v>
      </c>
    </row>
    <row r="259" spans="1:30" s="37" customFormat="1" ht="15.75" customHeight="1" x14ac:dyDescent="0.2">
      <c r="A259" s="26">
        <v>1405</v>
      </c>
      <c r="B259" s="27" t="s">
        <v>534</v>
      </c>
      <c r="C259" s="27" t="s">
        <v>116</v>
      </c>
      <c r="D259" s="28">
        <v>0.04</v>
      </c>
      <c r="E259" s="29">
        <v>30.73</v>
      </c>
      <c r="F259" s="29">
        <v>4</v>
      </c>
      <c r="G259" s="30" t="s">
        <v>39</v>
      </c>
      <c r="H259" s="27" t="s">
        <v>71</v>
      </c>
      <c r="I259" s="27" t="s">
        <v>41</v>
      </c>
      <c r="J259" s="27" t="s">
        <v>42</v>
      </c>
      <c r="K259" s="27" t="s">
        <v>73</v>
      </c>
      <c r="L259" s="31" t="s">
        <v>674</v>
      </c>
      <c r="M259" s="32">
        <v>0.75</v>
      </c>
      <c r="N259" s="27" t="s">
        <v>33</v>
      </c>
      <c r="O259" s="27" t="s">
        <v>53</v>
      </c>
      <c r="P259" s="27" t="s">
        <v>289</v>
      </c>
      <c r="Q259" s="27" t="s">
        <v>535</v>
      </c>
      <c r="R259" s="33">
        <v>49017</v>
      </c>
      <c r="S259" s="34">
        <v>42025</v>
      </c>
      <c r="T259" s="34">
        <v>42026</v>
      </c>
      <c r="U259" s="29">
        <v>-20.79</v>
      </c>
      <c r="V259" s="26">
        <v>12</v>
      </c>
      <c r="W259" s="29">
        <v>355.21</v>
      </c>
      <c r="X259" s="26">
        <v>86145</v>
      </c>
      <c r="Y259" s="35">
        <v>7.76</v>
      </c>
      <c r="Z259" s="1" t="s">
        <v>3012</v>
      </c>
      <c r="AA259" s="36">
        <v>14.750400000000001</v>
      </c>
      <c r="AB259" s="54">
        <v>88.802499999999995</v>
      </c>
      <c r="AC259" s="54">
        <v>22.200624999999999</v>
      </c>
      <c r="AD259" s="36">
        <v>357.24959999999999</v>
      </c>
    </row>
    <row r="260" spans="1:30" s="37" customFormat="1" ht="15.75" customHeight="1" x14ac:dyDescent="0.2">
      <c r="A260" s="26">
        <v>263</v>
      </c>
      <c r="B260" s="27" t="s">
        <v>665</v>
      </c>
      <c r="C260" s="27" t="s">
        <v>38</v>
      </c>
      <c r="D260" s="28">
        <v>0.05</v>
      </c>
      <c r="E260" s="29">
        <v>31.76</v>
      </c>
      <c r="F260" s="29">
        <v>45.51</v>
      </c>
      <c r="G260" s="30" t="s">
        <v>27</v>
      </c>
      <c r="H260" s="27" t="s">
        <v>3095</v>
      </c>
      <c r="I260" s="27" t="s">
        <v>29</v>
      </c>
      <c r="J260" s="27" t="s">
        <v>30</v>
      </c>
      <c r="K260" s="27" t="s">
        <v>31</v>
      </c>
      <c r="L260" s="31" t="s">
        <v>666</v>
      </c>
      <c r="M260" s="32">
        <v>0.65</v>
      </c>
      <c r="N260" s="27" t="s">
        <v>33</v>
      </c>
      <c r="O260" s="27" t="s">
        <v>111</v>
      </c>
      <c r="P260" s="27" t="s">
        <v>317</v>
      </c>
      <c r="Q260" s="27" t="s">
        <v>667</v>
      </c>
      <c r="R260" s="33">
        <v>44106</v>
      </c>
      <c r="S260" s="34">
        <v>42025</v>
      </c>
      <c r="T260" s="34">
        <v>42027</v>
      </c>
      <c r="U260" s="29">
        <v>-2177.9860960000001</v>
      </c>
      <c r="V260" s="26">
        <v>9</v>
      </c>
      <c r="W260" s="29">
        <v>304.33999999999997</v>
      </c>
      <c r="X260" s="26">
        <v>86297</v>
      </c>
      <c r="Y260" s="35">
        <v>105.31</v>
      </c>
      <c r="Z260" s="1" t="s">
        <v>3014</v>
      </c>
      <c r="AA260" s="36">
        <v>14.292000000000002</v>
      </c>
      <c r="AB260" s="54">
        <v>106.51899999999999</v>
      </c>
      <c r="AC260" s="54">
        <v>21.98011111111111</v>
      </c>
      <c r="AD260" s="36">
        <v>2422.5240960000001</v>
      </c>
    </row>
    <row r="261" spans="1:30" s="37" customFormat="1" ht="15.75" customHeight="1" x14ac:dyDescent="0.2">
      <c r="A261" s="26">
        <v>3230</v>
      </c>
      <c r="B261" s="27" t="s">
        <v>700</v>
      </c>
      <c r="C261" s="27" t="s">
        <v>3094</v>
      </c>
      <c r="D261" s="28">
        <v>0</v>
      </c>
      <c r="E261" s="29">
        <v>15.98</v>
      </c>
      <c r="F261" s="29">
        <v>8.99</v>
      </c>
      <c r="G261" s="30" t="s">
        <v>39</v>
      </c>
      <c r="H261" s="27" t="s">
        <v>3095</v>
      </c>
      <c r="I261" s="27" t="s">
        <v>41</v>
      </c>
      <c r="J261" s="27" t="s">
        <v>42</v>
      </c>
      <c r="K261" s="27" t="s">
        <v>43</v>
      </c>
      <c r="L261" s="31" t="s">
        <v>701</v>
      </c>
      <c r="M261" s="32">
        <v>0.64</v>
      </c>
      <c r="N261" s="27" t="s">
        <v>33</v>
      </c>
      <c r="O261" s="27" t="s">
        <v>53</v>
      </c>
      <c r="P261" s="27" t="s">
        <v>357</v>
      </c>
      <c r="Q261" s="27" t="s">
        <v>702</v>
      </c>
      <c r="R261" s="33">
        <v>53186</v>
      </c>
      <c r="S261" s="34">
        <v>42025</v>
      </c>
      <c r="T261" s="34">
        <v>42027</v>
      </c>
      <c r="U261" s="29">
        <v>-135.46</v>
      </c>
      <c r="V261" s="26">
        <v>9</v>
      </c>
      <c r="W261" s="29">
        <v>152.18</v>
      </c>
      <c r="X261" s="26">
        <v>87435</v>
      </c>
      <c r="Y261" s="35">
        <v>15.47</v>
      </c>
      <c r="Z261" s="1" t="s">
        <v>3012</v>
      </c>
      <c r="AA261" s="36">
        <v>0</v>
      </c>
      <c r="AB261" s="54">
        <v>54.784799999999997</v>
      </c>
      <c r="AC261" s="54">
        <v>10.82168888888889</v>
      </c>
      <c r="AD261" s="36">
        <v>278.65000000000003</v>
      </c>
    </row>
    <row r="262" spans="1:30" s="37" customFormat="1" ht="15.75" customHeight="1" x14ac:dyDescent="0.2">
      <c r="A262" s="26">
        <v>584</v>
      </c>
      <c r="B262" s="27" t="s">
        <v>682</v>
      </c>
      <c r="C262" s="27" t="s">
        <v>3094</v>
      </c>
      <c r="D262" s="28">
        <v>0.04</v>
      </c>
      <c r="E262" s="29">
        <v>15.51</v>
      </c>
      <c r="F262" s="29">
        <v>17.78</v>
      </c>
      <c r="G262" s="30" t="s">
        <v>39</v>
      </c>
      <c r="H262" s="27" t="s">
        <v>94</v>
      </c>
      <c r="I262" s="27" t="s">
        <v>49</v>
      </c>
      <c r="J262" s="27" t="s">
        <v>78</v>
      </c>
      <c r="K262" s="27" t="s">
        <v>73</v>
      </c>
      <c r="L262" s="31" t="s">
        <v>258</v>
      </c>
      <c r="M262" s="32">
        <v>0.59</v>
      </c>
      <c r="N262" s="27" t="s">
        <v>33</v>
      </c>
      <c r="O262" s="27" t="s">
        <v>111</v>
      </c>
      <c r="P262" s="27" t="s">
        <v>403</v>
      </c>
      <c r="Q262" s="27" t="s">
        <v>683</v>
      </c>
      <c r="R262" s="33">
        <v>1801</v>
      </c>
      <c r="S262" s="34">
        <v>42025</v>
      </c>
      <c r="T262" s="34">
        <v>42027</v>
      </c>
      <c r="U262" s="29">
        <v>-266.22000000000003</v>
      </c>
      <c r="V262" s="26">
        <v>7</v>
      </c>
      <c r="W262" s="29">
        <v>116.93</v>
      </c>
      <c r="X262" s="26">
        <v>88646</v>
      </c>
      <c r="Y262" s="35">
        <v>14.27</v>
      </c>
      <c r="Z262" s="1" t="s">
        <v>3014</v>
      </c>
      <c r="AA262" s="36">
        <v>4.3427999999999995</v>
      </c>
      <c r="AB262" s="54">
        <v>47.941300000000005</v>
      </c>
      <c r="AC262" s="54">
        <v>9.8555285714285699</v>
      </c>
      <c r="AD262" s="36">
        <v>361.02719999999999</v>
      </c>
    </row>
    <row r="263" spans="1:30" s="37" customFormat="1" ht="15.75" customHeight="1" x14ac:dyDescent="0.2">
      <c r="A263" s="26">
        <v>1727</v>
      </c>
      <c r="B263" s="27" t="s">
        <v>687</v>
      </c>
      <c r="C263" s="27" t="s">
        <v>3094</v>
      </c>
      <c r="D263" s="28">
        <v>0.1</v>
      </c>
      <c r="E263" s="29">
        <v>14.98</v>
      </c>
      <c r="F263" s="29">
        <v>7.69</v>
      </c>
      <c r="G263" s="30" t="s">
        <v>87</v>
      </c>
      <c r="H263" s="27" t="s">
        <v>3095</v>
      </c>
      <c r="I263" s="27" t="s">
        <v>49</v>
      </c>
      <c r="J263" s="27" t="s">
        <v>78</v>
      </c>
      <c r="K263" s="27" t="s">
        <v>73</v>
      </c>
      <c r="L263" s="31" t="s">
        <v>688</v>
      </c>
      <c r="M263" s="32">
        <v>0.56999999999999995</v>
      </c>
      <c r="N263" s="27" t="s">
        <v>33</v>
      </c>
      <c r="O263" s="27" t="s">
        <v>111</v>
      </c>
      <c r="P263" s="27" t="s">
        <v>317</v>
      </c>
      <c r="Q263" s="27" t="s">
        <v>689</v>
      </c>
      <c r="R263" s="33">
        <v>44240</v>
      </c>
      <c r="S263" s="34">
        <v>42025</v>
      </c>
      <c r="T263" s="34">
        <v>42027</v>
      </c>
      <c r="U263" s="29">
        <v>-76.900000000000006</v>
      </c>
      <c r="V263" s="26">
        <v>8</v>
      </c>
      <c r="W263" s="29">
        <v>114.81</v>
      </c>
      <c r="X263" s="26">
        <v>87194</v>
      </c>
      <c r="Y263" s="35">
        <v>14.88</v>
      </c>
      <c r="Z263" s="1" t="s">
        <v>3014</v>
      </c>
      <c r="AA263" s="36">
        <v>11.984000000000002</v>
      </c>
      <c r="AB263" s="54">
        <v>49.368300000000005</v>
      </c>
      <c r="AC263" s="54">
        <v>8.1802124999999997</v>
      </c>
      <c r="AD263" s="36">
        <v>172.036</v>
      </c>
    </row>
    <row r="264" spans="1:30" s="37" customFormat="1" ht="15.75" customHeight="1" x14ac:dyDescent="0.2">
      <c r="A264" s="26">
        <v>1989</v>
      </c>
      <c r="B264" s="27" t="s">
        <v>693</v>
      </c>
      <c r="C264" s="27" t="s">
        <v>3094</v>
      </c>
      <c r="D264" s="28">
        <v>0.09</v>
      </c>
      <c r="E264" s="29">
        <v>19.98</v>
      </c>
      <c r="F264" s="29">
        <v>8.68</v>
      </c>
      <c r="G264" s="30" t="s">
        <v>39</v>
      </c>
      <c r="H264" s="27" t="s">
        <v>71</v>
      </c>
      <c r="I264" s="27" t="s">
        <v>49</v>
      </c>
      <c r="J264" s="27" t="s">
        <v>88</v>
      </c>
      <c r="K264" s="27" t="s">
        <v>73</v>
      </c>
      <c r="L264" s="31" t="s">
        <v>696</v>
      </c>
      <c r="M264" s="32">
        <v>0.37</v>
      </c>
      <c r="N264" s="27" t="s">
        <v>33</v>
      </c>
      <c r="O264" s="27" t="s">
        <v>60</v>
      </c>
      <c r="P264" s="27" t="s">
        <v>146</v>
      </c>
      <c r="Q264" s="27" t="s">
        <v>695</v>
      </c>
      <c r="R264" s="33">
        <v>84117</v>
      </c>
      <c r="S264" s="34">
        <v>42025</v>
      </c>
      <c r="T264" s="34">
        <v>42026</v>
      </c>
      <c r="U264" s="29">
        <v>6.6803999999999997</v>
      </c>
      <c r="V264" s="26">
        <v>5</v>
      </c>
      <c r="W264" s="29">
        <v>93.19</v>
      </c>
      <c r="X264" s="26">
        <v>90000</v>
      </c>
      <c r="Y264" s="35">
        <v>1889.89</v>
      </c>
      <c r="Z264" s="1" t="s">
        <v>3013</v>
      </c>
      <c r="AA264" s="36">
        <v>8.9909999999999997</v>
      </c>
      <c r="AB264" s="54">
        <v>58.709699999999998</v>
      </c>
      <c r="AC264" s="54">
        <v>6.8960599999999994</v>
      </c>
      <c r="AD264" s="36">
        <v>68.8386</v>
      </c>
    </row>
    <row r="265" spans="1:30" s="37" customFormat="1" ht="15.75" customHeight="1" x14ac:dyDescent="0.2">
      <c r="A265" s="26">
        <v>1473</v>
      </c>
      <c r="B265" s="27" t="s">
        <v>659</v>
      </c>
      <c r="C265" s="27" t="s">
        <v>26</v>
      </c>
      <c r="D265" s="28">
        <v>0.04</v>
      </c>
      <c r="E265" s="29">
        <v>9.7799999999999994</v>
      </c>
      <c r="F265" s="29">
        <v>1.99</v>
      </c>
      <c r="G265" s="30" t="s">
        <v>87</v>
      </c>
      <c r="H265" s="27" t="s">
        <v>71</v>
      </c>
      <c r="I265" s="27" t="s">
        <v>41</v>
      </c>
      <c r="J265" s="27" t="s">
        <v>42</v>
      </c>
      <c r="K265" s="27" t="s">
        <v>43</v>
      </c>
      <c r="L265" s="31" t="s">
        <v>660</v>
      </c>
      <c r="M265" s="32">
        <v>0.43</v>
      </c>
      <c r="N265" s="27" t="s">
        <v>33</v>
      </c>
      <c r="O265" s="27" t="s">
        <v>111</v>
      </c>
      <c r="P265" s="27" t="s">
        <v>317</v>
      </c>
      <c r="Q265" s="27" t="s">
        <v>661</v>
      </c>
      <c r="R265" s="33">
        <v>44691</v>
      </c>
      <c r="S265" s="34">
        <v>42025</v>
      </c>
      <c r="T265" s="34">
        <v>42026</v>
      </c>
      <c r="U265" s="29">
        <v>61.292700000000004</v>
      </c>
      <c r="V265" s="26">
        <v>9</v>
      </c>
      <c r="W265" s="29">
        <v>88.83</v>
      </c>
      <c r="X265" s="26">
        <v>87076</v>
      </c>
      <c r="Y265" s="35">
        <v>355.94</v>
      </c>
      <c r="Z265" s="1" t="s">
        <v>3014</v>
      </c>
      <c r="AA265" s="36">
        <v>3.5207999999999999</v>
      </c>
      <c r="AB265" s="54">
        <v>50.633100000000006</v>
      </c>
      <c r="AC265" s="54">
        <v>4.2440999999999995</v>
      </c>
      <c r="AD265" s="36">
        <v>22.026499999999999</v>
      </c>
    </row>
    <row r="266" spans="1:30" s="37" customFormat="1" ht="15.75" customHeight="1" x14ac:dyDescent="0.2">
      <c r="A266" s="26">
        <v>2855</v>
      </c>
      <c r="B266" s="27" t="s">
        <v>678</v>
      </c>
      <c r="C266" s="27" t="s">
        <v>116</v>
      </c>
      <c r="D266" s="28">
        <v>0.08</v>
      </c>
      <c r="E266" s="29">
        <v>7.84</v>
      </c>
      <c r="F266" s="29">
        <v>4.71</v>
      </c>
      <c r="G266" s="30" t="s">
        <v>39</v>
      </c>
      <c r="H266" s="27" t="s">
        <v>94</v>
      </c>
      <c r="I266" s="27" t="s">
        <v>49</v>
      </c>
      <c r="J266" s="27" t="s">
        <v>72</v>
      </c>
      <c r="K266" s="27" t="s">
        <v>73</v>
      </c>
      <c r="L266" s="31" t="s">
        <v>679</v>
      </c>
      <c r="M266" s="32">
        <v>0.35</v>
      </c>
      <c r="N266" s="27" t="s">
        <v>33</v>
      </c>
      <c r="O266" s="27" t="s">
        <v>60</v>
      </c>
      <c r="P266" s="27" t="s">
        <v>67</v>
      </c>
      <c r="Q266" s="27" t="s">
        <v>680</v>
      </c>
      <c r="R266" s="33">
        <v>98198</v>
      </c>
      <c r="S266" s="34">
        <v>42025</v>
      </c>
      <c r="T266" s="34">
        <v>42026</v>
      </c>
      <c r="U266" s="29">
        <v>-12.87678</v>
      </c>
      <c r="V266" s="26">
        <v>10</v>
      </c>
      <c r="W266" s="29">
        <v>76.16</v>
      </c>
      <c r="X266" s="26">
        <v>87316</v>
      </c>
      <c r="Y266" s="35">
        <v>19.89</v>
      </c>
      <c r="Z266" s="1" t="s">
        <v>3013</v>
      </c>
      <c r="AA266" s="36">
        <v>6.2720000000000002</v>
      </c>
      <c r="AB266" s="54">
        <v>49.503999999999998</v>
      </c>
      <c r="AC266" s="54">
        <v>2.6655999999999995</v>
      </c>
      <c r="AD266" s="36">
        <v>78.054779999999994</v>
      </c>
    </row>
    <row r="267" spans="1:30" s="37" customFormat="1" ht="15.75" customHeight="1" x14ac:dyDescent="0.2">
      <c r="A267" s="26">
        <v>2797</v>
      </c>
      <c r="B267" s="27" t="s">
        <v>390</v>
      </c>
      <c r="C267" s="27" t="s">
        <v>116</v>
      </c>
      <c r="D267" s="28">
        <v>0.02</v>
      </c>
      <c r="E267" s="29">
        <v>4.91</v>
      </c>
      <c r="F267" s="29">
        <v>0.5</v>
      </c>
      <c r="G267" s="30" t="s">
        <v>39</v>
      </c>
      <c r="H267" s="27" t="s">
        <v>94</v>
      </c>
      <c r="I267" s="27" t="s">
        <v>49</v>
      </c>
      <c r="J267" s="27" t="s">
        <v>152</v>
      </c>
      <c r="K267" s="27" t="s">
        <v>73</v>
      </c>
      <c r="L267" s="31" t="s">
        <v>577</v>
      </c>
      <c r="M267" s="32">
        <v>0.36</v>
      </c>
      <c r="N267" s="27" t="s">
        <v>33</v>
      </c>
      <c r="O267" s="27" t="s">
        <v>111</v>
      </c>
      <c r="P267" s="27" t="s">
        <v>320</v>
      </c>
      <c r="Q267" s="27" t="s">
        <v>392</v>
      </c>
      <c r="R267" s="33">
        <v>15122</v>
      </c>
      <c r="S267" s="34">
        <v>42025</v>
      </c>
      <c r="T267" s="34">
        <v>42026</v>
      </c>
      <c r="U267" s="29">
        <v>29.883900000000001</v>
      </c>
      <c r="V267" s="26">
        <v>9</v>
      </c>
      <c r="W267" s="29">
        <v>43.31</v>
      </c>
      <c r="X267" s="26">
        <v>87553</v>
      </c>
      <c r="Y267" s="35">
        <v>24.939999999999998</v>
      </c>
      <c r="Z267" s="1" t="s">
        <v>3014</v>
      </c>
      <c r="AA267" s="36">
        <v>0.88380000000000014</v>
      </c>
      <c r="AB267" s="54">
        <v>27.718400000000003</v>
      </c>
      <c r="AC267" s="54">
        <v>1.7323999999999999</v>
      </c>
      <c r="AD267" s="36">
        <v>12.042300000000001</v>
      </c>
    </row>
    <row r="268" spans="1:30" s="37" customFormat="1" ht="15.75" customHeight="1" x14ac:dyDescent="0.2">
      <c r="A268" s="26">
        <v>1709</v>
      </c>
      <c r="B268" s="27" t="s">
        <v>684</v>
      </c>
      <c r="C268" s="27" t="s">
        <v>3094</v>
      </c>
      <c r="D268" s="28">
        <v>0.01</v>
      </c>
      <c r="E268" s="29">
        <v>14.28</v>
      </c>
      <c r="F268" s="29">
        <v>2.99</v>
      </c>
      <c r="G268" s="30" t="s">
        <v>39</v>
      </c>
      <c r="H268" s="27" t="s">
        <v>40</v>
      </c>
      <c r="I268" s="27" t="s">
        <v>49</v>
      </c>
      <c r="J268" s="27" t="s">
        <v>72</v>
      </c>
      <c r="K268" s="27" t="s">
        <v>73</v>
      </c>
      <c r="L268" s="31" t="s">
        <v>685</v>
      </c>
      <c r="M268" s="32">
        <v>0.39</v>
      </c>
      <c r="N268" s="27" t="s">
        <v>33</v>
      </c>
      <c r="O268" s="27" t="s">
        <v>111</v>
      </c>
      <c r="P268" s="27" t="s">
        <v>320</v>
      </c>
      <c r="Q268" s="27" t="s">
        <v>686</v>
      </c>
      <c r="R268" s="33">
        <v>19464</v>
      </c>
      <c r="S268" s="34">
        <v>42025</v>
      </c>
      <c r="T268" s="34">
        <v>42026</v>
      </c>
      <c r="U268" s="29">
        <v>21.003499999999999</v>
      </c>
      <c r="V268" s="26">
        <v>2</v>
      </c>
      <c r="W268" s="29">
        <v>30.44</v>
      </c>
      <c r="X268" s="26">
        <v>88782</v>
      </c>
      <c r="Y268" s="35">
        <v>15.98</v>
      </c>
      <c r="Z268" s="1" t="s">
        <v>3014</v>
      </c>
      <c r="AA268" s="36">
        <v>0.28560000000000002</v>
      </c>
      <c r="AB268" s="54">
        <v>18.5684</v>
      </c>
      <c r="AC268" s="54">
        <v>5.9358000000000004</v>
      </c>
      <c r="AD268" s="36">
        <v>6.1609000000000052</v>
      </c>
    </row>
    <row r="269" spans="1:30" s="37" customFormat="1" ht="15.75" customHeight="1" x14ac:dyDescent="0.2">
      <c r="A269" s="26">
        <v>2896</v>
      </c>
      <c r="B269" s="27" t="s">
        <v>723</v>
      </c>
      <c r="C269" s="27" t="s">
        <v>48</v>
      </c>
      <c r="D269" s="28">
        <v>0.02</v>
      </c>
      <c r="E269" s="29">
        <v>880.98</v>
      </c>
      <c r="F269" s="29">
        <v>44.55</v>
      </c>
      <c r="G269" s="30" t="s">
        <v>27</v>
      </c>
      <c r="H269" s="27" t="s">
        <v>71</v>
      </c>
      <c r="I269" s="27" t="s">
        <v>29</v>
      </c>
      <c r="J269" s="27" t="s">
        <v>117</v>
      </c>
      <c r="K269" s="27" t="s">
        <v>31</v>
      </c>
      <c r="L269" s="31" t="s">
        <v>238</v>
      </c>
      <c r="M269" s="32">
        <v>0.62</v>
      </c>
      <c r="N269" s="27" t="s">
        <v>33</v>
      </c>
      <c r="O269" s="27" t="s">
        <v>53</v>
      </c>
      <c r="P269" s="27" t="s">
        <v>84</v>
      </c>
      <c r="Q269" s="27" t="s">
        <v>724</v>
      </c>
      <c r="R269" s="33">
        <v>56001</v>
      </c>
      <c r="S269" s="34">
        <v>42026</v>
      </c>
      <c r="T269" s="34">
        <v>42030</v>
      </c>
      <c r="U269" s="29">
        <v>4861.0637999999999</v>
      </c>
      <c r="V269" s="26">
        <v>8</v>
      </c>
      <c r="W269" s="29">
        <v>7045.02</v>
      </c>
      <c r="X269" s="26">
        <v>86925</v>
      </c>
      <c r="Y269" s="35">
        <v>32.889999999999993</v>
      </c>
      <c r="Z269" s="1" t="s">
        <v>3012</v>
      </c>
      <c r="AA269" s="36">
        <v>140.95680000000002</v>
      </c>
      <c r="AB269" s="54">
        <v>2677.1076000000003</v>
      </c>
      <c r="AC269" s="54">
        <v>545.98905000000002</v>
      </c>
      <c r="AD269" s="36">
        <v>1998.4494000000004</v>
      </c>
    </row>
    <row r="270" spans="1:30" s="37" customFormat="1" ht="15.75" customHeight="1" x14ac:dyDescent="0.2">
      <c r="A270" s="26">
        <v>2873</v>
      </c>
      <c r="B270" s="27" t="s">
        <v>728</v>
      </c>
      <c r="C270" s="27" t="s">
        <v>116</v>
      </c>
      <c r="D270" s="28">
        <v>0</v>
      </c>
      <c r="E270" s="29">
        <v>217.85</v>
      </c>
      <c r="F270" s="29">
        <v>29.1</v>
      </c>
      <c r="G270" s="30" t="s">
        <v>27</v>
      </c>
      <c r="H270" s="27" t="s">
        <v>3095</v>
      </c>
      <c r="I270" s="27" t="s">
        <v>29</v>
      </c>
      <c r="J270" s="27" t="s">
        <v>30</v>
      </c>
      <c r="K270" s="27" t="s">
        <v>31</v>
      </c>
      <c r="L270" s="31" t="s">
        <v>731</v>
      </c>
      <c r="M270" s="32">
        <v>0.68</v>
      </c>
      <c r="N270" s="27" t="s">
        <v>33</v>
      </c>
      <c r="O270" s="27" t="s">
        <v>34</v>
      </c>
      <c r="P270" s="27" t="s">
        <v>123</v>
      </c>
      <c r="Q270" s="27" t="s">
        <v>730</v>
      </c>
      <c r="R270" s="33">
        <v>33012</v>
      </c>
      <c r="S270" s="34">
        <v>42026</v>
      </c>
      <c r="T270" s="34">
        <v>42027</v>
      </c>
      <c r="U270" s="29">
        <v>394.17</v>
      </c>
      <c r="V270" s="26">
        <v>10</v>
      </c>
      <c r="W270" s="29">
        <v>2273.1</v>
      </c>
      <c r="X270" s="26">
        <v>89872</v>
      </c>
      <c r="Y270" s="35">
        <v>80.97</v>
      </c>
      <c r="Z270" s="1" t="s">
        <v>3011</v>
      </c>
      <c r="AA270" s="36">
        <v>0</v>
      </c>
      <c r="AB270" s="54">
        <v>727.39199999999983</v>
      </c>
      <c r="AC270" s="54">
        <v>154.57080000000002</v>
      </c>
      <c r="AD270" s="36">
        <v>1849.83</v>
      </c>
    </row>
    <row r="271" spans="1:30" s="37" customFormat="1" ht="15.75" customHeight="1" x14ac:dyDescent="0.2">
      <c r="A271" s="26">
        <v>2456</v>
      </c>
      <c r="B271" s="27" t="s">
        <v>714</v>
      </c>
      <c r="C271" s="27" t="s">
        <v>38</v>
      </c>
      <c r="D271" s="28">
        <v>7.0000000000000007E-2</v>
      </c>
      <c r="E271" s="29">
        <v>179.99</v>
      </c>
      <c r="F271" s="29">
        <v>19.989999999999998</v>
      </c>
      <c r="G271" s="30" t="s">
        <v>39</v>
      </c>
      <c r="H271" s="27" t="s">
        <v>71</v>
      </c>
      <c r="I271" s="27" t="s">
        <v>41</v>
      </c>
      <c r="J271" s="27" t="s">
        <v>42</v>
      </c>
      <c r="K271" s="27" t="s">
        <v>73</v>
      </c>
      <c r="L271" s="31" t="s">
        <v>715</v>
      </c>
      <c r="M271" s="32">
        <v>0.48</v>
      </c>
      <c r="N271" s="27" t="s">
        <v>33</v>
      </c>
      <c r="O271" s="27" t="s">
        <v>34</v>
      </c>
      <c r="P271" s="27" t="s">
        <v>164</v>
      </c>
      <c r="Q271" s="27" t="s">
        <v>716</v>
      </c>
      <c r="R271" s="33">
        <v>36608</v>
      </c>
      <c r="S271" s="34">
        <v>42026</v>
      </c>
      <c r="T271" s="34">
        <v>42027</v>
      </c>
      <c r="U271" s="29">
        <v>733.28219999999999</v>
      </c>
      <c r="V271" s="26">
        <v>7</v>
      </c>
      <c r="W271" s="29">
        <v>1188.6300000000001</v>
      </c>
      <c r="X271" s="26">
        <v>89218</v>
      </c>
      <c r="Y271" s="35">
        <v>20.28</v>
      </c>
      <c r="Z271" s="1" t="s">
        <v>3011</v>
      </c>
      <c r="AA271" s="36">
        <v>88.195100000000011</v>
      </c>
      <c r="AB271" s="54">
        <v>618.08760000000007</v>
      </c>
      <c r="AC271" s="54">
        <v>81.506057142857145</v>
      </c>
      <c r="AD271" s="36">
        <v>347.16270000000009</v>
      </c>
    </row>
    <row r="272" spans="1:30" s="37" customFormat="1" ht="15.75" customHeight="1" x14ac:dyDescent="0.2">
      <c r="A272" s="26">
        <v>1764</v>
      </c>
      <c r="B272" s="27" t="s">
        <v>711</v>
      </c>
      <c r="C272" s="27" t="s">
        <v>38</v>
      </c>
      <c r="D272" s="28">
        <v>0</v>
      </c>
      <c r="E272" s="29">
        <v>115.99</v>
      </c>
      <c r="F272" s="29">
        <v>5.92</v>
      </c>
      <c r="G272" s="30" t="s">
        <v>39</v>
      </c>
      <c r="H272" s="27" t="s">
        <v>40</v>
      </c>
      <c r="I272" s="27" t="s">
        <v>41</v>
      </c>
      <c r="J272" s="27" t="s">
        <v>135</v>
      </c>
      <c r="K272" s="27" t="s">
        <v>73</v>
      </c>
      <c r="L272" s="31" t="s">
        <v>712</v>
      </c>
      <c r="M272" s="32">
        <v>0.57999999999999996</v>
      </c>
      <c r="N272" s="27" t="s">
        <v>33</v>
      </c>
      <c r="O272" s="27" t="s">
        <v>34</v>
      </c>
      <c r="P272" s="27" t="s">
        <v>123</v>
      </c>
      <c r="Q272" s="27" t="s">
        <v>713</v>
      </c>
      <c r="R272" s="33">
        <v>34698</v>
      </c>
      <c r="S272" s="34">
        <v>42026</v>
      </c>
      <c r="T272" s="34">
        <v>42026</v>
      </c>
      <c r="U272" s="29">
        <v>-16.771999999999998</v>
      </c>
      <c r="V272" s="26">
        <v>11</v>
      </c>
      <c r="W272" s="29">
        <v>1160.42</v>
      </c>
      <c r="X272" s="26">
        <v>89775</v>
      </c>
      <c r="Y272" s="35">
        <v>115.99</v>
      </c>
      <c r="Z272" s="1" t="s">
        <v>3011</v>
      </c>
      <c r="AA272" s="36">
        <v>0</v>
      </c>
      <c r="AB272" s="54">
        <v>487.3764000000001</v>
      </c>
      <c r="AC272" s="54">
        <v>61.185781818181816</v>
      </c>
      <c r="AD272" s="36">
        <v>1171.2720000000002</v>
      </c>
    </row>
    <row r="273" spans="1:30" s="37" customFormat="1" ht="15.75" customHeight="1" x14ac:dyDescent="0.2">
      <c r="A273" s="26">
        <v>2456</v>
      </c>
      <c r="B273" s="27" t="s">
        <v>714</v>
      </c>
      <c r="C273" s="27" t="s">
        <v>38</v>
      </c>
      <c r="D273" s="28">
        <v>0.02</v>
      </c>
      <c r="E273" s="29">
        <v>92.23</v>
      </c>
      <c r="F273" s="29">
        <v>39.61</v>
      </c>
      <c r="G273" s="30" t="s">
        <v>87</v>
      </c>
      <c r="H273" s="27" t="s">
        <v>71</v>
      </c>
      <c r="I273" s="27" t="s">
        <v>29</v>
      </c>
      <c r="J273" s="27" t="s">
        <v>126</v>
      </c>
      <c r="K273" s="27" t="s">
        <v>144</v>
      </c>
      <c r="L273" s="31" t="s">
        <v>717</v>
      </c>
      <c r="M273" s="32">
        <v>0.67</v>
      </c>
      <c r="N273" s="27" t="s">
        <v>33</v>
      </c>
      <c r="O273" s="27" t="s">
        <v>34</v>
      </c>
      <c r="P273" s="27" t="s">
        <v>164</v>
      </c>
      <c r="Q273" s="27" t="s">
        <v>716</v>
      </c>
      <c r="R273" s="33">
        <v>36608</v>
      </c>
      <c r="S273" s="34">
        <v>42026</v>
      </c>
      <c r="T273" s="34">
        <v>42027</v>
      </c>
      <c r="U273" s="29">
        <v>-905.99040000000002</v>
      </c>
      <c r="V273" s="26">
        <v>11</v>
      </c>
      <c r="W273" s="29">
        <v>1009.93</v>
      </c>
      <c r="X273" s="26">
        <v>89218</v>
      </c>
      <c r="Y273" s="35">
        <v>179.92000000000002</v>
      </c>
      <c r="Z273" s="1" t="s">
        <v>3011</v>
      </c>
      <c r="AA273" s="36">
        <v>20.290600000000001</v>
      </c>
      <c r="AB273" s="54">
        <v>333.27689999999996</v>
      </c>
      <c r="AC273" s="54">
        <v>61.513918181818184</v>
      </c>
      <c r="AD273" s="36">
        <v>1856.0198</v>
      </c>
    </row>
    <row r="274" spans="1:30" s="37" customFormat="1" ht="15.75" customHeight="1" x14ac:dyDescent="0.2">
      <c r="A274" s="26">
        <v>1438</v>
      </c>
      <c r="B274" s="27" t="s">
        <v>706</v>
      </c>
      <c r="C274" s="27" t="s">
        <v>26</v>
      </c>
      <c r="D274" s="28">
        <v>0.01</v>
      </c>
      <c r="E274" s="29">
        <v>80.98</v>
      </c>
      <c r="F274" s="29">
        <v>35</v>
      </c>
      <c r="G274" s="30" t="s">
        <v>39</v>
      </c>
      <c r="H274" s="27" t="s">
        <v>94</v>
      </c>
      <c r="I274" s="27" t="s">
        <v>49</v>
      </c>
      <c r="J274" s="27" t="s">
        <v>78</v>
      </c>
      <c r="K274" s="27" t="s">
        <v>65</v>
      </c>
      <c r="L274" s="31" t="s">
        <v>707</v>
      </c>
      <c r="M274" s="32">
        <v>0.83</v>
      </c>
      <c r="N274" s="27" t="s">
        <v>33</v>
      </c>
      <c r="O274" s="27" t="s">
        <v>111</v>
      </c>
      <c r="P274" s="27" t="s">
        <v>317</v>
      </c>
      <c r="Q274" s="27" t="s">
        <v>708</v>
      </c>
      <c r="R274" s="33">
        <v>44035</v>
      </c>
      <c r="S274" s="34">
        <v>42026</v>
      </c>
      <c r="T274" s="34">
        <v>42028</v>
      </c>
      <c r="U274" s="29">
        <v>-409.37360000000001</v>
      </c>
      <c r="V274" s="26">
        <v>3</v>
      </c>
      <c r="W274" s="29">
        <v>267.83</v>
      </c>
      <c r="X274" s="26">
        <v>90120</v>
      </c>
      <c r="Y274" s="35">
        <v>92.210000000000008</v>
      </c>
      <c r="Z274" s="1" t="s">
        <v>3014</v>
      </c>
      <c r="AA274" s="36">
        <v>2.4294000000000002</v>
      </c>
      <c r="AB274" s="54">
        <v>45.531100000000009</v>
      </c>
      <c r="AC274" s="54">
        <v>74.099633333333315</v>
      </c>
      <c r="AD274" s="36">
        <v>639.77420000000006</v>
      </c>
    </row>
    <row r="275" spans="1:30" s="37" customFormat="1" ht="15.75" customHeight="1" x14ac:dyDescent="0.2">
      <c r="A275" s="26">
        <v>1959</v>
      </c>
      <c r="B275" s="27" t="s">
        <v>709</v>
      </c>
      <c r="C275" s="27" t="s">
        <v>26</v>
      </c>
      <c r="D275" s="28">
        <v>0</v>
      </c>
      <c r="E275" s="29">
        <v>20.28</v>
      </c>
      <c r="F275" s="29">
        <v>14.39</v>
      </c>
      <c r="G275" s="30" t="s">
        <v>39</v>
      </c>
      <c r="H275" s="27" t="s">
        <v>94</v>
      </c>
      <c r="I275" s="27" t="s">
        <v>29</v>
      </c>
      <c r="J275" s="27" t="s">
        <v>126</v>
      </c>
      <c r="K275" s="27" t="s">
        <v>73</v>
      </c>
      <c r="L275" s="31" t="s">
        <v>710</v>
      </c>
      <c r="M275" s="32">
        <v>0.47</v>
      </c>
      <c r="N275" s="27" t="s">
        <v>33</v>
      </c>
      <c r="O275" s="27" t="s">
        <v>34</v>
      </c>
      <c r="P275" s="27" t="s">
        <v>123</v>
      </c>
      <c r="Q275" s="27" t="s">
        <v>128</v>
      </c>
      <c r="R275" s="33">
        <v>33916</v>
      </c>
      <c r="S275" s="34">
        <v>42026</v>
      </c>
      <c r="T275" s="34">
        <v>42026</v>
      </c>
      <c r="U275" s="29">
        <v>-66.247299999999996</v>
      </c>
      <c r="V275" s="26">
        <v>9</v>
      </c>
      <c r="W275" s="29">
        <v>206.04</v>
      </c>
      <c r="X275" s="26">
        <v>28225</v>
      </c>
      <c r="Y275" s="35">
        <v>15.200000000000001</v>
      </c>
      <c r="Z275" s="1" t="s">
        <v>3011</v>
      </c>
      <c r="AA275" s="36">
        <v>0</v>
      </c>
      <c r="AB275" s="54">
        <v>109.2012</v>
      </c>
      <c r="AC275" s="54">
        <v>10.759866666666666</v>
      </c>
      <c r="AD275" s="36">
        <v>257.89729999999997</v>
      </c>
    </row>
    <row r="276" spans="1:30" s="37" customFormat="1" ht="15.75" customHeight="1" x14ac:dyDescent="0.2">
      <c r="A276" s="26">
        <v>2457</v>
      </c>
      <c r="B276" s="27" t="s">
        <v>718</v>
      </c>
      <c r="C276" s="27" t="s">
        <v>38</v>
      </c>
      <c r="D276" s="28">
        <v>0.02</v>
      </c>
      <c r="E276" s="29">
        <v>15.22</v>
      </c>
      <c r="F276" s="29">
        <v>9.73</v>
      </c>
      <c r="G276" s="30" t="s">
        <v>39</v>
      </c>
      <c r="H276" s="27" t="s">
        <v>71</v>
      </c>
      <c r="I276" s="27" t="s">
        <v>49</v>
      </c>
      <c r="J276" s="27" t="s">
        <v>72</v>
      </c>
      <c r="K276" s="27" t="s">
        <v>73</v>
      </c>
      <c r="L276" s="31" t="s">
        <v>719</v>
      </c>
      <c r="M276" s="32">
        <v>0.36</v>
      </c>
      <c r="N276" s="27" t="s">
        <v>33</v>
      </c>
      <c r="O276" s="27" t="s">
        <v>53</v>
      </c>
      <c r="P276" s="27" t="s">
        <v>84</v>
      </c>
      <c r="Q276" s="27" t="s">
        <v>720</v>
      </c>
      <c r="R276" s="33">
        <v>55014</v>
      </c>
      <c r="S276" s="34">
        <v>42026</v>
      </c>
      <c r="T276" s="34">
        <v>42026</v>
      </c>
      <c r="U276" s="29">
        <v>-21.63242</v>
      </c>
      <c r="V276" s="26">
        <v>9</v>
      </c>
      <c r="W276" s="29">
        <v>140.69999999999999</v>
      </c>
      <c r="X276" s="26">
        <v>89218</v>
      </c>
      <c r="Y276" s="35">
        <v>6.9200000000000008</v>
      </c>
      <c r="Z276" s="1" t="s">
        <v>3012</v>
      </c>
      <c r="AA276" s="36">
        <v>2.7396000000000003</v>
      </c>
      <c r="AB276" s="54">
        <v>90.047999999999988</v>
      </c>
      <c r="AC276" s="54">
        <v>5.6279999999999992</v>
      </c>
      <c r="AD276" s="36">
        <v>149.86282</v>
      </c>
    </row>
    <row r="277" spans="1:30" s="37" customFormat="1" ht="15.75" customHeight="1" x14ac:dyDescent="0.2">
      <c r="A277" s="26">
        <v>2209</v>
      </c>
      <c r="B277" s="27" t="s">
        <v>721</v>
      </c>
      <c r="C277" s="27" t="s">
        <v>48</v>
      </c>
      <c r="D277" s="28">
        <v>0.06</v>
      </c>
      <c r="E277" s="29">
        <v>6.98</v>
      </c>
      <c r="F277" s="29">
        <v>1.6</v>
      </c>
      <c r="G277" s="30" t="s">
        <v>39</v>
      </c>
      <c r="H277" s="27" t="s">
        <v>71</v>
      </c>
      <c r="I277" s="27" t="s">
        <v>49</v>
      </c>
      <c r="J277" s="27" t="s">
        <v>88</v>
      </c>
      <c r="K277" s="27" t="s">
        <v>51</v>
      </c>
      <c r="L277" s="31" t="s">
        <v>722</v>
      </c>
      <c r="M277" s="32">
        <v>0.38</v>
      </c>
      <c r="N277" s="27" t="s">
        <v>33</v>
      </c>
      <c r="O277" s="27" t="s">
        <v>34</v>
      </c>
      <c r="P277" s="27" t="s">
        <v>75</v>
      </c>
      <c r="Q277" s="27" t="s">
        <v>460</v>
      </c>
      <c r="R277" s="33">
        <v>30337</v>
      </c>
      <c r="S277" s="34">
        <v>42026</v>
      </c>
      <c r="T277" s="34">
        <v>42033</v>
      </c>
      <c r="U277" s="29">
        <v>-98.055999999999997</v>
      </c>
      <c r="V277" s="26">
        <v>12</v>
      </c>
      <c r="W277" s="29">
        <v>83.93</v>
      </c>
      <c r="X277" s="26">
        <v>88030</v>
      </c>
      <c r="Y277" s="35">
        <v>880.96</v>
      </c>
      <c r="Z277" s="1" t="s">
        <v>3011</v>
      </c>
      <c r="AA277" s="36">
        <v>5.0255999999999998</v>
      </c>
      <c r="AB277" s="54">
        <v>52.036600000000007</v>
      </c>
      <c r="AC277" s="54">
        <v>2.6577833333333336</v>
      </c>
      <c r="AD277" s="36">
        <v>175.36040000000003</v>
      </c>
    </row>
    <row r="278" spans="1:30" s="37" customFormat="1" ht="15.75" customHeight="1" x14ac:dyDescent="0.2">
      <c r="A278" s="26">
        <v>151</v>
      </c>
      <c r="B278" s="27" t="s">
        <v>703</v>
      </c>
      <c r="C278" s="27" t="s">
        <v>26</v>
      </c>
      <c r="D278" s="28">
        <v>0.09</v>
      </c>
      <c r="E278" s="29">
        <v>32.979999999999997</v>
      </c>
      <c r="F278" s="29">
        <v>5.5</v>
      </c>
      <c r="G278" s="30" t="s">
        <v>39</v>
      </c>
      <c r="H278" s="27" t="s">
        <v>71</v>
      </c>
      <c r="I278" s="27" t="s">
        <v>41</v>
      </c>
      <c r="J278" s="27" t="s">
        <v>42</v>
      </c>
      <c r="K278" s="27" t="s">
        <v>73</v>
      </c>
      <c r="L278" s="31" t="s">
        <v>704</v>
      </c>
      <c r="M278" s="32">
        <v>0.75</v>
      </c>
      <c r="N278" s="27" t="s">
        <v>33</v>
      </c>
      <c r="O278" s="27" t="s">
        <v>34</v>
      </c>
      <c r="P278" s="27" t="s">
        <v>400</v>
      </c>
      <c r="Q278" s="27" t="s">
        <v>705</v>
      </c>
      <c r="R278" s="33">
        <v>37664</v>
      </c>
      <c r="S278" s="34">
        <v>42026</v>
      </c>
      <c r="T278" s="34">
        <v>42027</v>
      </c>
      <c r="U278" s="29">
        <v>-20.257999999999999</v>
      </c>
      <c r="V278" s="26">
        <v>2</v>
      </c>
      <c r="W278" s="29">
        <v>62.46</v>
      </c>
      <c r="X278" s="26">
        <v>89521</v>
      </c>
      <c r="Y278" s="35">
        <v>3.8000000000000003</v>
      </c>
      <c r="Z278" s="1" t="s">
        <v>3011</v>
      </c>
      <c r="AA278" s="36">
        <v>5.936399999999999</v>
      </c>
      <c r="AB278" s="54">
        <v>15.615</v>
      </c>
      <c r="AC278" s="54">
        <v>23.422499999999999</v>
      </c>
      <c r="AD278" s="36">
        <v>71.281599999999997</v>
      </c>
    </row>
    <row r="279" spans="1:30" s="37" customFormat="1" ht="15.75" customHeight="1" x14ac:dyDescent="0.2">
      <c r="A279" s="26">
        <v>2422</v>
      </c>
      <c r="B279" s="27" t="s">
        <v>725</v>
      </c>
      <c r="C279" s="27" t="s">
        <v>116</v>
      </c>
      <c r="D279" s="28">
        <v>0.09</v>
      </c>
      <c r="E279" s="29">
        <v>3.89</v>
      </c>
      <c r="F279" s="29">
        <v>7.01</v>
      </c>
      <c r="G279" s="30" t="s">
        <v>87</v>
      </c>
      <c r="H279" s="27" t="s">
        <v>71</v>
      </c>
      <c r="I279" s="27" t="s">
        <v>49</v>
      </c>
      <c r="J279" s="27" t="s">
        <v>72</v>
      </c>
      <c r="K279" s="27" t="s">
        <v>73</v>
      </c>
      <c r="L279" s="31" t="s">
        <v>726</v>
      </c>
      <c r="M279" s="32">
        <v>0.37</v>
      </c>
      <c r="N279" s="27" t="s">
        <v>33</v>
      </c>
      <c r="O279" s="27" t="s">
        <v>53</v>
      </c>
      <c r="P279" s="27" t="s">
        <v>187</v>
      </c>
      <c r="Q279" s="27" t="s">
        <v>727</v>
      </c>
      <c r="R279" s="33">
        <v>77340</v>
      </c>
      <c r="S279" s="34">
        <v>42026</v>
      </c>
      <c r="T279" s="34">
        <v>42028</v>
      </c>
      <c r="U279" s="29">
        <v>-154.30699999999999</v>
      </c>
      <c r="V279" s="26">
        <v>10</v>
      </c>
      <c r="W279" s="29">
        <v>42.56</v>
      </c>
      <c r="X279" s="26">
        <v>89055</v>
      </c>
      <c r="Y279" s="35">
        <v>2.8200000000000003</v>
      </c>
      <c r="Z279" s="1" t="s">
        <v>3012</v>
      </c>
      <c r="AA279" s="36">
        <v>3.5010000000000003</v>
      </c>
      <c r="AB279" s="54">
        <v>26.812800000000003</v>
      </c>
      <c r="AC279" s="54">
        <v>1.5747200000000001</v>
      </c>
      <c r="AD279" s="36">
        <v>186.35599999999999</v>
      </c>
    </row>
    <row r="280" spans="1:30" s="37" customFormat="1" ht="15.75" customHeight="1" x14ac:dyDescent="0.2">
      <c r="A280" s="26">
        <v>2873</v>
      </c>
      <c r="B280" s="27" t="s">
        <v>728</v>
      </c>
      <c r="C280" s="27" t="s">
        <v>116</v>
      </c>
      <c r="D280" s="28">
        <v>7.0000000000000007E-2</v>
      </c>
      <c r="E280" s="29">
        <v>2.89</v>
      </c>
      <c r="F280" s="29">
        <v>0.5</v>
      </c>
      <c r="G280" s="30" t="s">
        <v>39</v>
      </c>
      <c r="H280" s="27" t="s">
        <v>3095</v>
      </c>
      <c r="I280" s="27" t="s">
        <v>49</v>
      </c>
      <c r="J280" s="27" t="s">
        <v>152</v>
      </c>
      <c r="K280" s="27" t="s">
        <v>73</v>
      </c>
      <c r="L280" s="31" t="s">
        <v>729</v>
      </c>
      <c r="M280" s="32">
        <v>0.38</v>
      </c>
      <c r="N280" s="27" t="s">
        <v>33</v>
      </c>
      <c r="O280" s="27" t="s">
        <v>34</v>
      </c>
      <c r="P280" s="27" t="s">
        <v>123</v>
      </c>
      <c r="Q280" s="27" t="s">
        <v>730</v>
      </c>
      <c r="R280" s="33">
        <v>33012</v>
      </c>
      <c r="S280" s="34">
        <v>42026</v>
      </c>
      <c r="T280" s="34">
        <v>42028</v>
      </c>
      <c r="U280" s="29">
        <v>441.59399999999999</v>
      </c>
      <c r="V280" s="26">
        <v>12</v>
      </c>
      <c r="W280" s="29">
        <v>33.020000000000003</v>
      </c>
      <c r="X280" s="26">
        <v>89872</v>
      </c>
      <c r="Y280" s="35">
        <v>217.85</v>
      </c>
      <c r="Z280" s="1" t="s">
        <v>3011</v>
      </c>
      <c r="AA280" s="36">
        <v>2.4276000000000004</v>
      </c>
      <c r="AB280" s="54">
        <v>20.4724</v>
      </c>
      <c r="AC280" s="54">
        <v>1.0456333333333334</v>
      </c>
      <c r="AD280" s="36">
        <v>-411.5016</v>
      </c>
    </row>
    <row r="281" spans="1:30" s="37" customFormat="1" ht="15.75" customHeight="1" x14ac:dyDescent="0.2">
      <c r="A281" s="26">
        <v>3350</v>
      </c>
      <c r="B281" s="27" t="s">
        <v>732</v>
      </c>
      <c r="C281" s="27" t="s">
        <v>116</v>
      </c>
      <c r="D281" s="28">
        <v>0.01</v>
      </c>
      <c r="E281" s="29">
        <v>73.98</v>
      </c>
      <c r="F281" s="29">
        <v>12.14</v>
      </c>
      <c r="G281" s="30" t="s">
        <v>39</v>
      </c>
      <c r="H281" s="27" t="s">
        <v>3095</v>
      </c>
      <c r="I281" s="27" t="s">
        <v>41</v>
      </c>
      <c r="J281" s="27" t="s">
        <v>42</v>
      </c>
      <c r="K281" s="27" t="s">
        <v>73</v>
      </c>
      <c r="L281" s="31" t="s">
        <v>733</v>
      </c>
      <c r="M281" s="32">
        <v>0.67</v>
      </c>
      <c r="N281" s="27" t="s">
        <v>33</v>
      </c>
      <c r="O281" s="27" t="s">
        <v>60</v>
      </c>
      <c r="P281" s="27" t="s">
        <v>67</v>
      </c>
      <c r="Q281" s="27" t="s">
        <v>734</v>
      </c>
      <c r="R281" s="33">
        <v>98444</v>
      </c>
      <c r="S281" s="34">
        <v>42027</v>
      </c>
      <c r="T281" s="34">
        <v>42029</v>
      </c>
      <c r="U281" s="29">
        <v>-29.0656</v>
      </c>
      <c r="V281" s="26">
        <v>5</v>
      </c>
      <c r="W281" s="29">
        <v>384.22</v>
      </c>
      <c r="X281" s="26">
        <v>91296</v>
      </c>
      <c r="Y281" s="35">
        <v>73.97</v>
      </c>
      <c r="Z281" s="1" t="s">
        <v>3013</v>
      </c>
      <c r="AA281" s="36">
        <v>3.6989999999999998</v>
      </c>
      <c r="AB281" s="54">
        <v>126.79259999999999</v>
      </c>
      <c r="AC281" s="54">
        <v>51.48548000000001</v>
      </c>
      <c r="AD281" s="36">
        <v>397.44660000000005</v>
      </c>
    </row>
    <row r="282" spans="1:30" s="37" customFormat="1" ht="15.75" customHeight="1" x14ac:dyDescent="0.2">
      <c r="A282" s="26">
        <v>1693</v>
      </c>
      <c r="B282" s="27" t="s">
        <v>738</v>
      </c>
      <c r="C282" s="27" t="s">
        <v>3094</v>
      </c>
      <c r="D282" s="28">
        <v>7.0000000000000007E-2</v>
      </c>
      <c r="E282" s="29">
        <v>30.98</v>
      </c>
      <c r="F282" s="29">
        <v>5.76</v>
      </c>
      <c r="G282" s="30" t="s">
        <v>39</v>
      </c>
      <c r="H282" s="27" t="s">
        <v>40</v>
      </c>
      <c r="I282" s="27" t="s">
        <v>49</v>
      </c>
      <c r="J282" s="27" t="s">
        <v>88</v>
      </c>
      <c r="K282" s="27" t="s">
        <v>73</v>
      </c>
      <c r="L282" s="31" t="s">
        <v>739</v>
      </c>
      <c r="M282" s="32">
        <v>0.4</v>
      </c>
      <c r="N282" s="27" t="s">
        <v>33</v>
      </c>
      <c r="O282" s="27" t="s">
        <v>34</v>
      </c>
      <c r="P282" s="27" t="s">
        <v>242</v>
      </c>
      <c r="Q282" s="27" t="s">
        <v>740</v>
      </c>
      <c r="R282" s="33">
        <v>20190</v>
      </c>
      <c r="S282" s="34">
        <v>42027</v>
      </c>
      <c r="T282" s="34">
        <v>42029</v>
      </c>
      <c r="U282" s="29">
        <v>-28.797999999999998</v>
      </c>
      <c r="V282" s="26">
        <v>11</v>
      </c>
      <c r="W282" s="29">
        <v>343.79</v>
      </c>
      <c r="X282" s="26">
        <v>90189</v>
      </c>
      <c r="Y282" s="35">
        <v>6.84</v>
      </c>
      <c r="Z282" s="1" t="s">
        <v>3011</v>
      </c>
      <c r="AA282" s="36">
        <v>23.854600000000001</v>
      </c>
      <c r="AB282" s="54">
        <v>206.274</v>
      </c>
      <c r="AC282" s="54">
        <v>12.501454545454546</v>
      </c>
      <c r="AD282" s="36">
        <v>342.97340000000003</v>
      </c>
    </row>
    <row r="283" spans="1:30" s="37" customFormat="1" ht="15.75" customHeight="1" x14ac:dyDescent="0.2">
      <c r="A283" s="26">
        <v>1692</v>
      </c>
      <c r="B283" s="27" t="s">
        <v>735</v>
      </c>
      <c r="C283" s="27" t="s">
        <v>3094</v>
      </c>
      <c r="D283" s="28">
        <v>0</v>
      </c>
      <c r="E283" s="29">
        <v>6.84</v>
      </c>
      <c r="F283" s="29">
        <v>8.3699999999999992</v>
      </c>
      <c r="G283" s="30" t="s">
        <v>39</v>
      </c>
      <c r="H283" s="27" t="s">
        <v>40</v>
      </c>
      <c r="I283" s="27" t="s">
        <v>49</v>
      </c>
      <c r="J283" s="27" t="s">
        <v>568</v>
      </c>
      <c r="K283" s="27" t="s">
        <v>43</v>
      </c>
      <c r="L283" s="31" t="s">
        <v>736</v>
      </c>
      <c r="M283" s="32">
        <v>0.57999999999999996</v>
      </c>
      <c r="N283" s="27" t="s">
        <v>33</v>
      </c>
      <c r="O283" s="27" t="s">
        <v>53</v>
      </c>
      <c r="P283" s="27" t="s">
        <v>537</v>
      </c>
      <c r="Q283" s="27" t="s">
        <v>737</v>
      </c>
      <c r="R283" s="33">
        <v>67114</v>
      </c>
      <c r="S283" s="34">
        <v>42027</v>
      </c>
      <c r="T283" s="34">
        <v>42028</v>
      </c>
      <c r="U283" s="29">
        <v>-123.1816</v>
      </c>
      <c r="V283" s="26">
        <v>5</v>
      </c>
      <c r="W283" s="29">
        <v>37.89</v>
      </c>
      <c r="X283" s="26">
        <v>90189</v>
      </c>
      <c r="Y283" s="35">
        <v>30.91</v>
      </c>
      <c r="Z283" s="1" t="s">
        <v>3012</v>
      </c>
      <c r="AA283" s="36">
        <v>0</v>
      </c>
      <c r="AB283" s="54">
        <v>15.913800000000002</v>
      </c>
      <c r="AC283" s="54">
        <v>4.3952400000000003</v>
      </c>
      <c r="AD283" s="36">
        <v>152.70159999999998</v>
      </c>
    </row>
    <row r="284" spans="1:30" s="37" customFormat="1" ht="15.75" customHeight="1" x14ac:dyDescent="0.2">
      <c r="A284" s="26">
        <v>1282</v>
      </c>
      <c r="B284" s="27" t="s">
        <v>749</v>
      </c>
      <c r="C284" s="27" t="s">
        <v>48</v>
      </c>
      <c r="D284" s="28">
        <v>0.03</v>
      </c>
      <c r="E284" s="29">
        <v>199.99</v>
      </c>
      <c r="F284" s="29">
        <v>24.49</v>
      </c>
      <c r="G284" s="30" t="s">
        <v>87</v>
      </c>
      <c r="H284" s="27" t="s">
        <v>3095</v>
      </c>
      <c r="I284" s="27" t="s">
        <v>41</v>
      </c>
      <c r="J284" s="27" t="s">
        <v>64</v>
      </c>
      <c r="K284" s="27" t="s">
        <v>65</v>
      </c>
      <c r="L284" s="31" t="s">
        <v>747</v>
      </c>
      <c r="M284" s="32">
        <v>0.46</v>
      </c>
      <c r="N284" s="27" t="s">
        <v>33</v>
      </c>
      <c r="O284" s="27" t="s">
        <v>111</v>
      </c>
      <c r="P284" s="27" t="s">
        <v>320</v>
      </c>
      <c r="Q284" s="27" t="s">
        <v>321</v>
      </c>
      <c r="R284" s="33">
        <v>19134</v>
      </c>
      <c r="S284" s="34">
        <v>42028</v>
      </c>
      <c r="T284" s="34">
        <v>42030</v>
      </c>
      <c r="U284" s="29">
        <v>393.42</v>
      </c>
      <c r="V284" s="26">
        <v>21</v>
      </c>
      <c r="W284" s="29">
        <v>4429.6899999999996</v>
      </c>
      <c r="X284" s="26">
        <v>29319</v>
      </c>
      <c r="Y284" s="35">
        <v>1.8499999999999999</v>
      </c>
      <c r="Z284" s="1" t="s">
        <v>3014</v>
      </c>
      <c r="AA284" s="36">
        <v>125.99369999999999</v>
      </c>
      <c r="AB284" s="54">
        <v>2392.0326</v>
      </c>
      <c r="AC284" s="54">
        <v>97.03130476190475</v>
      </c>
      <c r="AD284" s="36">
        <v>3885.7862999999998</v>
      </c>
    </row>
    <row r="285" spans="1:30" s="37" customFormat="1" ht="15.75" customHeight="1" x14ac:dyDescent="0.2">
      <c r="A285" s="26">
        <v>1653</v>
      </c>
      <c r="B285" s="27" t="s">
        <v>765</v>
      </c>
      <c r="C285" s="27" t="s">
        <v>3094</v>
      </c>
      <c r="D285" s="28">
        <v>0</v>
      </c>
      <c r="E285" s="29">
        <v>101.41</v>
      </c>
      <c r="F285" s="29">
        <v>35</v>
      </c>
      <c r="G285" s="30" t="s">
        <v>87</v>
      </c>
      <c r="H285" s="27" t="s">
        <v>94</v>
      </c>
      <c r="I285" s="27" t="s">
        <v>49</v>
      </c>
      <c r="J285" s="27" t="s">
        <v>78</v>
      </c>
      <c r="K285" s="27" t="s">
        <v>65</v>
      </c>
      <c r="L285" s="31" t="s">
        <v>766</v>
      </c>
      <c r="M285" s="32">
        <v>0.82</v>
      </c>
      <c r="N285" s="27" t="s">
        <v>33</v>
      </c>
      <c r="O285" s="27" t="s">
        <v>60</v>
      </c>
      <c r="P285" s="27" t="s">
        <v>90</v>
      </c>
      <c r="Q285" s="27" t="s">
        <v>767</v>
      </c>
      <c r="R285" s="33">
        <v>91360</v>
      </c>
      <c r="S285" s="34">
        <v>42028</v>
      </c>
      <c r="T285" s="34">
        <v>42029</v>
      </c>
      <c r="U285" s="29">
        <v>-457.73</v>
      </c>
      <c r="V285" s="26">
        <v>10</v>
      </c>
      <c r="W285" s="29">
        <v>1104.32</v>
      </c>
      <c r="X285" s="26">
        <v>89885</v>
      </c>
      <c r="Y285" s="35">
        <v>14.41</v>
      </c>
      <c r="Z285" s="1" t="s">
        <v>3013</v>
      </c>
      <c r="AA285" s="36">
        <v>0</v>
      </c>
      <c r="AB285" s="54">
        <v>198.77760000000004</v>
      </c>
      <c r="AC285" s="54">
        <v>90.554239999999979</v>
      </c>
      <c r="AD285" s="36">
        <v>1527.05</v>
      </c>
    </row>
    <row r="286" spans="1:30" s="37" customFormat="1" ht="15.75" customHeight="1" x14ac:dyDescent="0.2">
      <c r="A286" s="26">
        <v>1281</v>
      </c>
      <c r="B286" s="27" t="s">
        <v>746</v>
      </c>
      <c r="C286" s="27" t="s">
        <v>48</v>
      </c>
      <c r="D286" s="28">
        <v>0.03</v>
      </c>
      <c r="E286" s="29">
        <v>199.99</v>
      </c>
      <c r="F286" s="29">
        <v>24.49</v>
      </c>
      <c r="G286" s="30" t="s">
        <v>87</v>
      </c>
      <c r="H286" s="27" t="s">
        <v>3095</v>
      </c>
      <c r="I286" s="27" t="s">
        <v>41</v>
      </c>
      <c r="J286" s="27" t="s">
        <v>64</v>
      </c>
      <c r="K286" s="27" t="s">
        <v>65</v>
      </c>
      <c r="L286" s="31" t="s">
        <v>747</v>
      </c>
      <c r="M286" s="32">
        <v>0.46</v>
      </c>
      <c r="N286" s="27" t="s">
        <v>33</v>
      </c>
      <c r="O286" s="27" t="s">
        <v>53</v>
      </c>
      <c r="P286" s="27" t="s">
        <v>54</v>
      </c>
      <c r="Q286" s="27" t="s">
        <v>748</v>
      </c>
      <c r="R286" s="33">
        <v>47591</v>
      </c>
      <c r="S286" s="34">
        <v>42028</v>
      </c>
      <c r="T286" s="34">
        <v>42030</v>
      </c>
      <c r="U286" s="29">
        <v>727.73609999999996</v>
      </c>
      <c r="V286" s="26">
        <v>5</v>
      </c>
      <c r="W286" s="29">
        <v>1054.69</v>
      </c>
      <c r="X286" s="26">
        <v>89112</v>
      </c>
      <c r="Y286" s="35">
        <v>67.760000000000005</v>
      </c>
      <c r="Z286" s="1" t="s">
        <v>3012</v>
      </c>
      <c r="AA286" s="36">
        <v>29.9985</v>
      </c>
      <c r="AB286" s="54">
        <v>569.53260000000012</v>
      </c>
      <c r="AC286" s="54">
        <v>97.031480000000016</v>
      </c>
      <c r="AD286" s="36">
        <v>272.46540000000005</v>
      </c>
    </row>
    <row r="287" spans="1:30" s="37" customFormat="1" ht="15.75" customHeight="1" x14ac:dyDescent="0.2">
      <c r="A287" s="26">
        <v>1690</v>
      </c>
      <c r="B287" s="27" t="s">
        <v>750</v>
      </c>
      <c r="C287" s="27" t="s">
        <v>48</v>
      </c>
      <c r="D287" s="28">
        <v>0.05</v>
      </c>
      <c r="E287" s="29">
        <v>115.99</v>
      </c>
      <c r="F287" s="29">
        <v>5.26</v>
      </c>
      <c r="G287" s="30" t="s">
        <v>39</v>
      </c>
      <c r="H287" s="27" t="s">
        <v>94</v>
      </c>
      <c r="I287" s="27" t="s">
        <v>41</v>
      </c>
      <c r="J287" s="27" t="s">
        <v>135</v>
      </c>
      <c r="K287" s="27" t="s">
        <v>73</v>
      </c>
      <c r="L287" s="31" t="s">
        <v>751</v>
      </c>
      <c r="M287" s="32">
        <v>0.56999999999999995</v>
      </c>
      <c r="N287" s="27" t="s">
        <v>33</v>
      </c>
      <c r="O287" s="27" t="s">
        <v>111</v>
      </c>
      <c r="P287" s="27" t="s">
        <v>320</v>
      </c>
      <c r="Q287" s="27" t="s">
        <v>752</v>
      </c>
      <c r="R287" s="33">
        <v>17112</v>
      </c>
      <c r="S287" s="34">
        <v>42028</v>
      </c>
      <c r="T287" s="34">
        <v>42032</v>
      </c>
      <c r="U287" s="29">
        <v>616.53570000000002</v>
      </c>
      <c r="V287" s="26">
        <v>9</v>
      </c>
      <c r="W287" s="29">
        <v>893.53</v>
      </c>
      <c r="X287" s="26">
        <v>91076</v>
      </c>
      <c r="Y287" s="35">
        <v>199.96</v>
      </c>
      <c r="Z287" s="1" t="s">
        <v>3014</v>
      </c>
      <c r="AA287" s="36">
        <v>52.195500000000003</v>
      </c>
      <c r="AB287" s="54">
        <v>384.21790000000004</v>
      </c>
      <c r="AC287" s="54">
        <v>56.590233333333323</v>
      </c>
      <c r="AD287" s="36">
        <v>219.53879999999992</v>
      </c>
    </row>
    <row r="288" spans="1:30" s="37" customFormat="1" ht="15.75" customHeight="1" x14ac:dyDescent="0.2">
      <c r="A288" s="26">
        <v>3089</v>
      </c>
      <c r="B288" s="27" t="s">
        <v>756</v>
      </c>
      <c r="C288" s="27" t="s">
        <v>48</v>
      </c>
      <c r="D288" s="28">
        <v>7.0000000000000007E-2</v>
      </c>
      <c r="E288" s="29">
        <v>49.43</v>
      </c>
      <c r="F288" s="29">
        <v>19.989999999999998</v>
      </c>
      <c r="G288" s="30" t="s">
        <v>39</v>
      </c>
      <c r="H288" s="27" t="s">
        <v>94</v>
      </c>
      <c r="I288" s="27" t="s">
        <v>49</v>
      </c>
      <c r="J288" s="27" t="s">
        <v>95</v>
      </c>
      <c r="K288" s="27" t="s">
        <v>73</v>
      </c>
      <c r="L288" s="31" t="s">
        <v>757</v>
      </c>
      <c r="M288" s="32">
        <v>0.56999999999999995</v>
      </c>
      <c r="N288" s="27" t="s">
        <v>33</v>
      </c>
      <c r="O288" s="27" t="s">
        <v>53</v>
      </c>
      <c r="P288" s="27" t="s">
        <v>537</v>
      </c>
      <c r="Q288" s="27" t="s">
        <v>758</v>
      </c>
      <c r="R288" s="33">
        <v>66209</v>
      </c>
      <c r="S288" s="34">
        <v>42028</v>
      </c>
      <c r="T288" s="34">
        <v>42033</v>
      </c>
      <c r="U288" s="29">
        <v>-122.77</v>
      </c>
      <c r="V288" s="26">
        <v>6</v>
      </c>
      <c r="W288" s="29">
        <v>281.82</v>
      </c>
      <c r="X288" s="26">
        <v>91219</v>
      </c>
      <c r="Y288" s="35">
        <v>199.96</v>
      </c>
      <c r="Z288" s="1" t="s">
        <v>3012</v>
      </c>
      <c r="AA288" s="36">
        <v>20.7606</v>
      </c>
      <c r="AB288" s="54">
        <v>121.18260000000001</v>
      </c>
      <c r="AC288" s="54">
        <v>26.772899999999996</v>
      </c>
      <c r="AD288" s="36">
        <v>363.83940000000001</v>
      </c>
    </row>
    <row r="289" spans="1:30" s="37" customFormat="1" ht="15.75" customHeight="1" x14ac:dyDescent="0.2">
      <c r="A289" s="26">
        <v>1653</v>
      </c>
      <c r="B289" s="27" t="s">
        <v>765</v>
      </c>
      <c r="C289" s="27" t="s">
        <v>3094</v>
      </c>
      <c r="D289" s="28">
        <v>0.1</v>
      </c>
      <c r="E289" s="29">
        <v>95.99</v>
      </c>
      <c r="F289" s="29">
        <v>4.9000000000000004</v>
      </c>
      <c r="G289" s="30" t="s">
        <v>39</v>
      </c>
      <c r="H289" s="27" t="s">
        <v>94</v>
      </c>
      <c r="I289" s="27" t="s">
        <v>41</v>
      </c>
      <c r="J289" s="27" t="s">
        <v>135</v>
      </c>
      <c r="K289" s="27" t="s">
        <v>73</v>
      </c>
      <c r="L289" s="31" t="s">
        <v>768</v>
      </c>
      <c r="M289" s="32">
        <v>0.56000000000000005</v>
      </c>
      <c r="N289" s="27" t="s">
        <v>33</v>
      </c>
      <c r="O289" s="27" t="s">
        <v>60</v>
      </c>
      <c r="P289" s="27" t="s">
        <v>90</v>
      </c>
      <c r="Q289" s="27" t="s">
        <v>767</v>
      </c>
      <c r="R289" s="33">
        <v>91360</v>
      </c>
      <c r="S289" s="34">
        <v>42028</v>
      </c>
      <c r="T289" s="34">
        <v>42029</v>
      </c>
      <c r="U289" s="29">
        <v>-268.66399999999999</v>
      </c>
      <c r="V289" s="26">
        <v>2</v>
      </c>
      <c r="W289" s="29">
        <v>149.80000000000001</v>
      </c>
      <c r="X289" s="26">
        <v>89885</v>
      </c>
      <c r="Y289" s="35">
        <v>115.94</v>
      </c>
      <c r="Z289" s="1" t="s">
        <v>3013</v>
      </c>
      <c r="AA289" s="36">
        <v>19.198</v>
      </c>
      <c r="AB289" s="54">
        <v>65.911999999999992</v>
      </c>
      <c r="AC289" s="54">
        <v>41.94400000000001</v>
      </c>
      <c r="AD289" s="36">
        <v>394.36599999999999</v>
      </c>
    </row>
    <row r="290" spans="1:30" s="37" customFormat="1" ht="15.75" customHeight="1" x14ac:dyDescent="0.2">
      <c r="A290" s="26">
        <v>604</v>
      </c>
      <c r="B290" s="27" t="s">
        <v>741</v>
      </c>
      <c r="C290" s="27" t="s">
        <v>26</v>
      </c>
      <c r="D290" s="28">
        <v>0.03</v>
      </c>
      <c r="E290" s="29">
        <v>1.88</v>
      </c>
      <c r="F290" s="29">
        <v>1.49</v>
      </c>
      <c r="G290" s="30" t="s">
        <v>39</v>
      </c>
      <c r="H290" s="27" t="s">
        <v>71</v>
      </c>
      <c r="I290" s="27" t="s">
        <v>49</v>
      </c>
      <c r="J290" s="27" t="s">
        <v>72</v>
      </c>
      <c r="K290" s="27" t="s">
        <v>73</v>
      </c>
      <c r="L290" s="31" t="s">
        <v>613</v>
      </c>
      <c r="M290" s="32">
        <v>0.37</v>
      </c>
      <c r="N290" s="27" t="s">
        <v>33</v>
      </c>
      <c r="O290" s="27" t="s">
        <v>60</v>
      </c>
      <c r="P290" s="27" t="s">
        <v>90</v>
      </c>
      <c r="Q290" s="27" t="s">
        <v>100</v>
      </c>
      <c r="R290" s="33">
        <v>90045</v>
      </c>
      <c r="S290" s="34">
        <v>42028</v>
      </c>
      <c r="T290" s="34">
        <v>42029</v>
      </c>
      <c r="U290" s="29">
        <v>-15.099500000000001</v>
      </c>
      <c r="V290" s="26">
        <v>52</v>
      </c>
      <c r="W290" s="29">
        <v>102.32</v>
      </c>
      <c r="X290" s="26">
        <v>34882</v>
      </c>
      <c r="Y290" s="35">
        <v>50.959999999999994</v>
      </c>
      <c r="Z290" s="1" t="s">
        <v>3013</v>
      </c>
      <c r="AA290" s="36">
        <v>2.9327999999999994</v>
      </c>
      <c r="AB290" s="54">
        <v>64.46159999999999</v>
      </c>
      <c r="AC290" s="54">
        <v>0.72804615384615379</v>
      </c>
      <c r="AD290" s="36">
        <v>112.99669999999999</v>
      </c>
    </row>
    <row r="291" spans="1:30" s="37" customFormat="1" ht="15.75" customHeight="1" x14ac:dyDescent="0.2">
      <c r="A291" s="26">
        <v>830</v>
      </c>
      <c r="B291" s="27" t="s">
        <v>742</v>
      </c>
      <c r="C291" s="27" t="s">
        <v>38</v>
      </c>
      <c r="D291" s="28">
        <v>0.01</v>
      </c>
      <c r="E291" s="29">
        <v>14.42</v>
      </c>
      <c r="F291" s="29">
        <v>6.75</v>
      </c>
      <c r="G291" s="30" t="s">
        <v>39</v>
      </c>
      <c r="H291" s="27" t="s">
        <v>94</v>
      </c>
      <c r="I291" s="27" t="s">
        <v>49</v>
      </c>
      <c r="J291" s="27" t="s">
        <v>95</v>
      </c>
      <c r="K291" s="27" t="s">
        <v>144</v>
      </c>
      <c r="L291" s="31" t="s">
        <v>409</v>
      </c>
      <c r="M291" s="32">
        <v>0.52</v>
      </c>
      <c r="N291" s="27" t="s">
        <v>33</v>
      </c>
      <c r="O291" s="27" t="s">
        <v>60</v>
      </c>
      <c r="P291" s="27" t="s">
        <v>61</v>
      </c>
      <c r="Q291" s="27" t="s">
        <v>743</v>
      </c>
      <c r="R291" s="33">
        <v>80033</v>
      </c>
      <c r="S291" s="34">
        <v>42028</v>
      </c>
      <c r="T291" s="34">
        <v>42028</v>
      </c>
      <c r="U291" s="29">
        <v>-13.826000000000001</v>
      </c>
      <c r="V291" s="26">
        <v>6</v>
      </c>
      <c r="W291" s="29">
        <v>89.91</v>
      </c>
      <c r="X291" s="26">
        <v>90270</v>
      </c>
      <c r="Y291" s="35">
        <v>49.36</v>
      </c>
      <c r="Z291" s="1" t="s">
        <v>3013</v>
      </c>
      <c r="AA291" s="36">
        <v>0.86519999999999997</v>
      </c>
      <c r="AB291" s="54">
        <v>43.156799999999997</v>
      </c>
      <c r="AC291" s="54">
        <v>7.7922000000000002</v>
      </c>
      <c r="AD291" s="36">
        <v>96.120800000000003</v>
      </c>
    </row>
    <row r="292" spans="1:30" s="37" customFormat="1" ht="15.75" customHeight="1" x14ac:dyDescent="0.2">
      <c r="A292" s="26">
        <v>2283</v>
      </c>
      <c r="B292" s="27" t="s">
        <v>759</v>
      </c>
      <c r="C292" s="27" t="s">
        <v>116</v>
      </c>
      <c r="D292" s="28">
        <v>0.01</v>
      </c>
      <c r="E292" s="29">
        <v>11.7</v>
      </c>
      <c r="F292" s="29">
        <v>6.96</v>
      </c>
      <c r="G292" s="30" t="s">
        <v>39</v>
      </c>
      <c r="H292" s="27" t="s">
        <v>71</v>
      </c>
      <c r="I292" s="27" t="s">
        <v>49</v>
      </c>
      <c r="J292" s="27" t="s">
        <v>95</v>
      </c>
      <c r="K292" s="27" t="s">
        <v>144</v>
      </c>
      <c r="L292" s="31" t="s">
        <v>760</v>
      </c>
      <c r="M292" s="32">
        <v>0.5</v>
      </c>
      <c r="N292" s="27" t="s">
        <v>33</v>
      </c>
      <c r="O292" s="27" t="s">
        <v>53</v>
      </c>
      <c r="P292" s="27" t="s">
        <v>357</v>
      </c>
      <c r="Q292" s="27" t="s">
        <v>761</v>
      </c>
      <c r="R292" s="33">
        <v>53132</v>
      </c>
      <c r="S292" s="34">
        <v>42028</v>
      </c>
      <c r="T292" s="34">
        <v>42030</v>
      </c>
      <c r="U292" s="29">
        <v>-28.954000000000001</v>
      </c>
      <c r="V292" s="26">
        <v>6</v>
      </c>
      <c r="W292" s="29">
        <v>76.87</v>
      </c>
      <c r="X292" s="26">
        <v>85947</v>
      </c>
      <c r="Y292" s="35">
        <v>11.69</v>
      </c>
      <c r="Z292" s="1" t="s">
        <v>3012</v>
      </c>
      <c r="AA292" s="36">
        <v>0.70199999999999996</v>
      </c>
      <c r="AB292" s="54">
        <v>38.435000000000002</v>
      </c>
      <c r="AC292" s="54">
        <v>6.4058333333333337</v>
      </c>
      <c r="AD292" s="36">
        <v>98.162000000000006</v>
      </c>
    </row>
    <row r="293" spans="1:30" s="37" customFormat="1" ht="15.75" customHeight="1" x14ac:dyDescent="0.2">
      <c r="A293" s="26">
        <v>2613</v>
      </c>
      <c r="B293" s="27" t="s">
        <v>753</v>
      </c>
      <c r="C293" s="27" t="s">
        <v>48</v>
      </c>
      <c r="D293" s="28">
        <v>0.02</v>
      </c>
      <c r="E293" s="29">
        <v>50.98</v>
      </c>
      <c r="F293" s="29">
        <v>13.66</v>
      </c>
      <c r="G293" s="30" t="s">
        <v>87</v>
      </c>
      <c r="H293" s="27" t="s">
        <v>94</v>
      </c>
      <c r="I293" s="27" t="s">
        <v>49</v>
      </c>
      <c r="J293" s="27" t="s">
        <v>95</v>
      </c>
      <c r="K293" s="27" t="s">
        <v>73</v>
      </c>
      <c r="L293" s="31" t="s">
        <v>754</v>
      </c>
      <c r="M293" s="32">
        <v>0.57999999999999996</v>
      </c>
      <c r="N293" s="27" t="s">
        <v>33</v>
      </c>
      <c r="O293" s="27" t="s">
        <v>111</v>
      </c>
      <c r="P293" s="27" t="s">
        <v>397</v>
      </c>
      <c r="Q293" s="27" t="s">
        <v>755</v>
      </c>
      <c r="R293" s="33">
        <v>8863</v>
      </c>
      <c r="S293" s="34">
        <v>42028</v>
      </c>
      <c r="T293" s="34">
        <v>42028</v>
      </c>
      <c r="U293" s="29">
        <v>-25.76</v>
      </c>
      <c r="V293" s="26">
        <v>1</v>
      </c>
      <c r="W293" s="29">
        <v>68.45</v>
      </c>
      <c r="X293" s="26">
        <v>86119</v>
      </c>
      <c r="Y293" s="35">
        <v>15.19</v>
      </c>
      <c r="Z293" s="1" t="s">
        <v>3014</v>
      </c>
      <c r="AA293" s="36">
        <v>1.0196000000000001</v>
      </c>
      <c r="AB293" s="54">
        <v>28.749000000000002</v>
      </c>
      <c r="AC293" s="54">
        <v>39.701000000000001</v>
      </c>
      <c r="AD293" s="36">
        <v>79.5304</v>
      </c>
    </row>
    <row r="294" spans="1:30" s="37" customFormat="1" ht="15.75" customHeight="1" x14ac:dyDescent="0.2">
      <c r="A294" s="26">
        <v>997</v>
      </c>
      <c r="B294" s="27" t="s">
        <v>744</v>
      </c>
      <c r="C294" s="27" t="s">
        <v>48</v>
      </c>
      <c r="D294" s="28">
        <v>0.08</v>
      </c>
      <c r="E294" s="29">
        <v>67.84</v>
      </c>
      <c r="F294" s="29">
        <v>0.99</v>
      </c>
      <c r="G294" s="30" t="s">
        <v>39</v>
      </c>
      <c r="H294" s="27" t="s">
        <v>3095</v>
      </c>
      <c r="I294" s="27" t="s">
        <v>49</v>
      </c>
      <c r="J294" s="27" t="s">
        <v>95</v>
      </c>
      <c r="K294" s="27" t="s">
        <v>73</v>
      </c>
      <c r="L294" s="31" t="s">
        <v>745</v>
      </c>
      <c r="M294" s="32">
        <v>0.57999999999999996</v>
      </c>
      <c r="N294" s="27" t="s">
        <v>33</v>
      </c>
      <c r="O294" s="27" t="s">
        <v>111</v>
      </c>
      <c r="P294" s="27" t="s">
        <v>397</v>
      </c>
      <c r="Q294" s="27" t="s">
        <v>398</v>
      </c>
      <c r="R294" s="33">
        <v>7002</v>
      </c>
      <c r="S294" s="34">
        <v>42028</v>
      </c>
      <c r="T294" s="34">
        <v>42033</v>
      </c>
      <c r="U294" s="29">
        <v>-23.634399999999999</v>
      </c>
      <c r="V294" s="26">
        <v>1</v>
      </c>
      <c r="W294" s="29">
        <v>63.66</v>
      </c>
      <c r="X294" s="26">
        <v>89431</v>
      </c>
      <c r="Y294" s="35">
        <v>101.41</v>
      </c>
      <c r="Z294" s="1" t="s">
        <v>3014</v>
      </c>
      <c r="AA294" s="36">
        <v>5.4272</v>
      </c>
      <c r="AB294" s="54">
        <v>26.737200000000001</v>
      </c>
      <c r="AC294" s="54">
        <v>36.922799999999995</v>
      </c>
      <c r="AD294" s="36">
        <v>80.877200000000002</v>
      </c>
    </row>
    <row r="295" spans="1:30" s="37" customFormat="1" ht="15.75" customHeight="1" x14ac:dyDescent="0.2">
      <c r="A295" s="26">
        <v>275</v>
      </c>
      <c r="B295" s="27" t="s">
        <v>762</v>
      </c>
      <c r="C295" s="27" t="s">
        <v>3094</v>
      </c>
      <c r="D295" s="28">
        <v>0.09</v>
      </c>
      <c r="E295" s="29">
        <v>15.28</v>
      </c>
      <c r="F295" s="29">
        <v>10.91</v>
      </c>
      <c r="G295" s="30" t="s">
        <v>39</v>
      </c>
      <c r="H295" s="27" t="s">
        <v>94</v>
      </c>
      <c r="I295" s="27" t="s">
        <v>49</v>
      </c>
      <c r="J295" s="27" t="s">
        <v>72</v>
      </c>
      <c r="K295" s="27" t="s">
        <v>73</v>
      </c>
      <c r="L295" s="31" t="s">
        <v>763</v>
      </c>
      <c r="M295" s="32">
        <v>0.36</v>
      </c>
      <c r="N295" s="27" t="s">
        <v>33</v>
      </c>
      <c r="O295" s="27" t="s">
        <v>111</v>
      </c>
      <c r="P295" s="27" t="s">
        <v>248</v>
      </c>
      <c r="Q295" s="27" t="s">
        <v>764</v>
      </c>
      <c r="R295" s="33">
        <v>6824</v>
      </c>
      <c r="S295" s="34">
        <v>42028</v>
      </c>
      <c r="T295" s="34">
        <v>42029</v>
      </c>
      <c r="U295" s="29">
        <v>-51.75</v>
      </c>
      <c r="V295" s="26">
        <v>4</v>
      </c>
      <c r="W295" s="29">
        <v>61.52</v>
      </c>
      <c r="X295" s="26">
        <v>89292</v>
      </c>
      <c r="Y295" s="35">
        <v>95.89</v>
      </c>
      <c r="Z295" s="1" t="s">
        <v>3014</v>
      </c>
      <c r="AA295" s="36">
        <v>5.5007999999999999</v>
      </c>
      <c r="AB295" s="54">
        <v>39.372800000000005</v>
      </c>
      <c r="AC295" s="54">
        <v>5.5368000000000004</v>
      </c>
      <c r="AD295" s="36">
        <v>96.859200000000016</v>
      </c>
    </row>
    <row r="296" spans="1:30" s="37" customFormat="1" ht="15.75" customHeight="1" x14ac:dyDescent="0.2">
      <c r="A296" s="26">
        <v>1997</v>
      </c>
      <c r="B296" s="27" t="s">
        <v>774</v>
      </c>
      <c r="C296" s="27" t="s">
        <v>3094</v>
      </c>
      <c r="D296" s="28">
        <v>0.1</v>
      </c>
      <c r="E296" s="29">
        <v>125.99</v>
      </c>
      <c r="F296" s="29">
        <v>8.99</v>
      </c>
      <c r="G296" s="30" t="s">
        <v>39</v>
      </c>
      <c r="H296" s="27" t="s">
        <v>40</v>
      </c>
      <c r="I296" s="27" t="s">
        <v>41</v>
      </c>
      <c r="J296" s="27" t="s">
        <v>135</v>
      </c>
      <c r="K296" s="27" t="s">
        <v>73</v>
      </c>
      <c r="L296" s="31" t="s">
        <v>775</v>
      </c>
      <c r="M296" s="32">
        <v>0.56999999999999995</v>
      </c>
      <c r="N296" s="27" t="s">
        <v>33</v>
      </c>
      <c r="O296" s="27" t="s">
        <v>34</v>
      </c>
      <c r="P296" s="27" t="s">
        <v>271</v>
      </c>
      <c r="Q296" s="27" t="s">
        <v>272</v>
      </c>
      <c r="R296" s="33">
        <v>29915</v>
      </c>
      <c r="S296" s="34">
        <v>42029</v>
      </c>
      <c r="T296" s="34">
        <v>42032</v>
      </c>
      <c r="U296" s="29">
        <v>17.652000000000001</v>
      </c>
      <c r="V296" s="26">
        <v>4</v>
      </c>
      <c r="W296" s="29">
        <v>408.66</v>
      </c>
      <c r="X296" s="26">
        <v>90333</v>
      </c>
      <c r="Y296" s="35">
        <v>1.68</v>
      </c>
      <c r="Z296" s="1" t="s">
        <v>3011</v>
      </c>
      <c r="AA296" s="36">
        <v>50.396000000000001</v>
      </c>
      <c r="AB296" s="54">
        <v>175.72380000000004</v>
      </c>
      <c r="AC296" s="54">
        <v>58.234049999999996</v>
      </c>
      <c r="AD296" s="36">
        <v>331.62200000000001</v>
      </c>
    </row>
    <row r="297" spans="1:30" s="37" customFormat="1" ht="15.75" customHeight="1" x14ac:dyDescent="0.2">
      <c r="A297" s="26">
        <v>156</v>
      </c>
      <c r="B297" s="27" t="s">
        <v>772</v>
      </c>
      <c r="C297" s="27" t="s">
        <v>38</v>
      </c>
      <c r="D297" s="28">
        <v>0.03</v>
      </c>
      <c r="E297" s="29">
        <v>10.89</v>
      </c>
      <c r="F297" s="29">
        <v>4.5</v>
      </c>
      <c r="G297" s="30" t="s">
        <v>39</v>
      </c>
      <c r="H297" s="27" t="s">
        <v>94</v>
      </c>
      <c r="I297" s="27" t="s">
        <v>49</v>
      </c>
      <c r="J297" s="27" t="s">
        <v>95</v>
      </c>
      <c r="K297" s="27" t="s">
        <v>73</v>
      </c>
      <c r="L297" s="31" t="s">
        <v>773</v>
      </c>
      <c r="M297" s="32">
        <v>0.59</v>
      </c>
      <c r="N297" s="27" t="s">
        <v>33</v>
      </c>
      <c r="O297" s="27" t="s">
        <v>60</v>
      </c>
      <c r="P297" s="27" t="s">
        <v>61</v>
      </c>
      <c r="Q297" s="27" t="s">
        <v>62</v>
      </c>
      <c r="R297" s="33">
        <v>80525</v>
      </c>
      <c r="S297" s="34">
        <v>42029</v>
      </c>
      <c r="T297" s="34">
        <v>42030</v>
      </c>
      <c r="U297" s="29">
        <v>-18.64</v>
      </c>
      <c r="V297" s="26">
        <v>3</v>
      </c>
      <c r="W297" s="29">
        <v>33.82</v>
      </c>
      <c r="X297" s="26">
        <v>87672</v>
      </c>
      <c r="Y297" s="35">
        <v>10.860000000000001</v>
      </c>
      <c r="Z297" s="1" t="s">
        <v>3013</v>
      </c>
      <c r="AA297" s="36">
        <v>0.98009999999999997</v>
      </c>
      <c r="AB297" s="54">
        <v>13.866200000000001</v>
      </c>
      <c r="AC297" s="54">
        <v>6.6512666666666664</v>
      </c>
      <c r="AD297" s="36">
        <v>46.979900000000001</v>
      </c>
    </row>
    <row r="298" spans="1:30" s="37" customFormat="1" ht="15.75" customHeight="1" x14ac:dyDescent="0.2">
      <c r="A298" s="26">
        <v>1389</v>
      </c>
      <c r="B298" s="27" t="s">
        <v>769</v>
      </c>
      <c r="C298" s="27" t="s">
        <v>26</v>
      </c>
      <c r="D298" s="28">
        <v>0.06</v>
      </c>
      <c r="E298" s="29">
        <v>1.74</v>
      </c>
      <c r="F298" s="29">
        <v>4.08</v>
      </c>
      <c r="G298" s="30" t="s">
        <v>39</v>
      </c>
      <c r="H298" s="27" t="s">
        <v>94</v>
      </c>
      <c r="I298" s="27" t="s">
        <v>29</v>
      </c>
      <c r="J298" s="27" t="s">
        <v>126</v>
      </c>
      <c r="K298" s="27" t="s">
        <v>43</v>
      </c>
      <c r="L298" s="31" t="s">
        <v>770</v>
      </c>
      <c r="M298" s="32">
        <v>0.53</v>
      </c>
      <c r="N298" s="27" t="s">
        <v>33</v>
      </c>
      <c r="O298" s="27" t="s">
        <v>60</v>
      </c>
      <c r="P298" s="27" t="s">
        <v>90</v>
      </c>
      <c r="Q298" s="27" t="s">
        <v>771</v>
      </c>
      <c r="R298" s="33">
        <v>94025</v>
      </c>
      <c r="S298" s="34">
        <v>42029</v>
      </c>
      <c r="T298" s="34">
        <v>42030</v>
      </c>
      <c r="U298" s="29">
        <v>-11.0732</v>
      </c>
      <c r="V298" s="26">
        <v>1</v>
      </c>
      <c r="W298" s="29">
        <v>2.77</v>
      </c>
      <c r="X298" s="26">
        <v>88726</v>
      </c>
      <c r="Y298" s="35">
        <v>125.89</v>
      </c>
      <c r="Z298" s="1" t="s">
        <v>3013</v>
      </c>
      <c r="AA298" s="36">
        <v>0.10439999999999999</v>
      </c>
      <c r="AB298" s="54">
        <v>1.3018999999999998</v>
      </c>
      <c r="AC298" s="54">
        <v>1.4681000000000002</v>
      </c>
      <c r="AD298" s="36">
        <v>9.6587999999999994</v>
      </c>
    </row>
    <row r="299" spans="1:30" s="37" customFormat="1" ht="15.75" customHeight="1" x14ac:dyDescent="0.2">
      <c r="A299" s="26">
        <v>2795</v>
      </c>
      <c r="B299" s="27" t="s">
        <v>791</v>
      </c>
      <c r="C299" s="27" t="s">
        <v>48</v>
      </c>
      <c r="D299" s="28">
        <v>0.05</v>
      </c>
      <c r="E299" s="29">
        <v>200.99</v>
      </c>
      <c r="F299" s="29">
        <v>4.2</v>
      </c>
      <c r="G299" s="30" t="s">
        <v>39</v>
      </c>
      <c r="H299" s="27" t="s">
        <v>94</v>
      </c>
      <c r="I299" s="27" t="s">
        <v>41</v>
      </c>
      <c r="J299" s="27" t="s">
        <v>135</v>
      </c>
      <c r="K299" s="27" t="s">
        <v>73</v>
      </c>
      <c r="L299" s="31" t="s">
        <v>794</v>
      </c>
      <c r="M299" s="32">
        <v>0.59</v>
      </c>
      <c r="N299" s="27" t="s">
        <v>33</v>
      </c>
      <c r="O299" s="27" t="s">
        <v>53</v>
      </c>
      <c r="P299" s="27" t="s">
        <v>213</v>
      </c>
      <c r="Q299" s="27" t="s">
        <v>793</v>
      </c>
      <c r="R299" s="33">
        <v>50401</v>
      </c>
      <c r="S299" s="34">
        <v>42030</v>
      </c>
      <c r="T299" s="34">
        <v>42034</v>
      </c>
      <c r="U299" s="29">
        <v>1630.5252</v>
      </c>
      <c r="V299" s="26">
        <v>14</v>
      </c>
      <c r="W299" s="29">
        <v>2363.08</v>
      </c>
      <c r="X299" s="26">
        <v>87556</v>
      </c>
      <c r="Y299" s="35">
        <v>14.31</v>
      </c>
      <c r="Z299" s="1" t="s">
        <v>3012</v>
      </c>
      <c r="AA299" s="36">
        <v>140.69300000000004</v>
      </c>
      <c r="AB299" s="54">
        <v>968.86279999999999</v>
      </c>
      <c r="AC299" s="54">
        <v>99.586942857142844</v>
      </c>
      <c r="AD299" s="36">
        <v>587.66179999999986</v>
      </c>
    </row>
    <row r="300" spans="1:30" s="37" customFormat="1" ht="15.75" customHeight="1" x14ac:dyDescent="0.2">
      <c r="A300" s="26">
        <v>3154</v>
      </c>
      <c r="B300" s="27" t="s">
        <v>781</v>
      </c>
      <c r="C300" s="27" t="s">
        <v>38</v>
      </c>
      <c r="D300" s="28">
        <v>0.08</v>
      </c>
      <c r="E300" s="29">
        <v>150.97999999999999</v>
      </c>
      <c r="F300" s="29">
        <v>13.99</v>
      </c>
      <c r="G300" s="30" t="s">
        <v>87</v>
      </c>
      <c r="H300" s="27" t="s">
        <v>94</v>
      </c>
      <c r="I300" s="27" t="s">
        <v>41</v>
      </c>
      <c r="J300" s="27" t="s">
        <v>57</v>
      </c>
      <c r="K300" s="27" t="s">
        <v>144</v>
      </c>
      <c r="L300" s="31" t="s">
        <v>782</v>
      </c>
      <c r="M300" s="32">
        <v>0.38</v>
      </c>
      <c r="N300" s="27" t="s">
        <v>33</v>
      </c>
      <c r="O300" s="27" t="s">
        <v>34</v>
      </c>
      <c r="P300" s="27" t="s">
        <v>123</v>
      </c>
      <c r="Q300" s="27" t="s">
        <v>783</v>
      </c>
      <c r="R300" s="33">
        <v>33710</v>
      </c>
      <c r="S300" s="34">
        <v>42030</v>
      </c>
      <c r="T300" s="34">
        <v>42031</v>
      </c>
      <c r="U300" s="29">
        <v>-3.948</v>
      </c>
      <c r="V300" s="26">
        <v>8</v>
      </c>
      <c r="W300" s="29">
        <v>1183.82</v>
      </c>
      <c r="X300" s="26">
        <v>86899</v>
      </c>
      <c r="Y300" s="35">
        <v>2.8800000000000003</v>
      </c>
      <c r="Z300" s="1" t="s">
        <v>3011</v>
      </c>
      <c r="AA300" s="36">
        <v>96.627200000000002</v>
      </c>
      <c r="AB300" s="54">
        <v>733.96839999999997</v>
      </c>
      <c r="AC300" s="54">
        <v>56.231449999999995</v>
      </c>
      <c r="AD300" s="36">
        <v>1077.1507999999999</v>
      </c>
    </row>
    <row r="301" spans="1:30" s="37" customFormat="1" ht="15.75" customHeight="1" x14ac:dyDescent="0.2">
      <c r="A301" s="26">
        <v>1946</v>
      </c>
      <c r="B301" s="27" t="s">
        <v>806</v>
      </c>
      <c r="C301" s="27" t="s">
        <v>116</v>
      </c>
      <c r="D301" s="28">
        <v>0.08</v>
      </c>
      <c r="E301" s="29">
        <v>90.98</v>
      </c>
      <c r="F301" s="29">
        <v>56.2</v>
      </c>
      <c r="G301" s="30" t="s">
        <v>39</v>
      </c>
      <c r="H301" s="27" t="s">
        <v>40</v>
      </c>
      <c r="I301" s="27" t="s">
        <v>29</v>
      </c>
      <c r="J301" s="27" t="s">
        <v>126</v>
      </c>
      <c r="K301" s="27" t="s">
        <v>144</v>
      </c>
      <c r="L301" s="31" t="s">
        <v>807</v>
      </c>
      <c r="M301" s="32">
        <v>0.74</v>
      </c>
      <c r="N301" s="27" t="s">
        <v>33</v>
      </c>
      <c r="O301" s="27" t="s">
        <v>111</v>
      </c>
      <c r="P301" s="27" t="s">
        <v>320</v>
      </c>
      <c r="Q301" s="27" t="s">
        <v>808</v>
      </c>
      <c r="R301" s="33">
        <v>15228</v>
      </c>
      <c r="S301" s="34">
        <v>42030</v>
      </c>
      <c r="T301" s="34">
        <v>42032</v>
      </c>
      <c r="U301" s="29">
        <v>-1920.9336000000001</v>
      </c>
      <c r="V301" s="26">
        <v>12</v>
      </c>
      <c r="W301" s="29">
        <v>1058.3599999999999</v>
      </c>
      <c r="X301" s="26">
        <v>86331</v>
      </c>
      <c r="Y301" s="35">
        <v>150.89999999999998</v>
      </c>
      <c r="Z301" s="1" t="s">
        <v>3014</v>
      </c>
      <c r="AA301" s="36">
        <v>87.340800000000002</v>
      </c>
      <c r="AB301" s="54">
        <v>275.17359999999996</v>
      </c>
      <c r="AC301" s="54">
        <v>65.265533333333323</v>
      </c>
      <c r="AD301" s="36">
        <v>2835.7528000000002</v>
      </c>
    </row>
    <row r="302" spans="1:30" s="37" customFormat="1" ht="15.75" customHeight="1" x14ac:dyDescent="0.2">
      <c r="A302" s="26">
        <v>2264</v>
      </c>
      <c r="B302" s="27" t="s">
        <v>813</v>
      </c>
      <c r="C302" s="27" t="s">
        <v>3094</v>
      </c>
      <c r="D302" s="28">
        <v>0.09</v>
      </c>
      <c r="E302" s="29">
        <v>207.48</v>
      </c>
      <c r="F302" s="29">
        <v>0.99</v>
      </c>
      <c r="G302" s="30" t="s">
        <v>39</v>
      </c>
      <c r="H302" s="27" t="s">
        <v>94</v>
      </c>
      <c r="I302" s="27" t="s">
        <v>49</v>
      </c>
      <c r="J302" s="27" t="s">
        <v>95</v>
      </c>
      <c r="K302" s="27" t="s">
        <v>73</v>
      </c>
      <c r="L302" s="31" t="s">
        <v>636</v>
      </c>
      <c r="M302" s="32">
        <v>0.55000000000000004</v>
      </c>
      <c r="N302" s="27" t="s">
        <v>33</v>
      </c>
      <c r="O302" s="27" t="s">
        <v>53</v>
      </c>
      <c r="P302" s="27" t="s">
        <v>80</v>
      </c>
      <c r="Q302" s="27" t="s">
        <v>814</v>
      </c>
      <c r="R302" s="33">
        <v>64804</v>
      </c>
      <c r="S302" s="34">
        <v>42030</v>
      </c>
      <c r="T302" s="34">
        <v>42033</v>
      </c>
      <c r="U302" s="29">
        <v>359.83</v>
      </c>
      <c r="V302" s="26">
        <v>3</v>
      </c>
      <c r="W302" s="29">
        <v>577.75</v>
      </c>
      <c r="X302" s="26">
        <v>86611</v>
      </c>
      <c r="Y302" s="35">
        <v>25.95</v>
      </c>
      <c r="Z302" s="1" t="s">
        <v>3012</v>
      </c>
      <c r="AA302" s="36">
        <v>56.019599999999997</v>
      </c>
      <c r="AB302" s="54">
        <v>259.98749999999995</v>
      </c>
      <c r="AC302" s="54">
        <v>105.92083333333335</v>
      </c>
      <c r="AD302" s="36">
        <v>160.91039999999998</v>
      </c>
    </row>
    <row r="303" spans="1:30" s="37" customFormat="1" ht="15.75" customHeight="1" x14ac:dyDescent="0.2">
      <c r="A303" s="26">
        <v>3314</v>
      </c>
      <c r="B303" s="27" t="s">
        <v>803</v>
      </c>
      <c r="C303" s="27" t="s">
        <v>48</v>
      </c>
      <c r="D303" s="28">
        <v>0.05</v>
      </c>
      <c r="E303" s="29">
        <v>122.99</v>
      </c>
      <c r="F303" s="29">
        <v>70.2</v>
      </c>
      <c r="G303" s="30" t="s">
        <v>27</v>
      </c>
      <c r="H303" s="27" t="s">
        <v>3095</v>
      </c>
      <c r="I303" s="27" t="s">
        <v>29</v>
      </c>
      <c r="J303" s="27" t="s">
        <v>109</v>
      </c>
      <c r="K303" s="27" t="s">
        <v>58</v>
      </c>
      <c r="L303" s="31" t="s">
        <v>804</v>
      </c>
      <c r="M303" s="32">
        <v>0.74</v>
      </c>
      <c r="N303" s="27" t="s">
        <v>33</v>
      </c>
      <c r="O303" s="27" t="s">
        <v>111</v>
      </c>
      <c r="P303" s="27" t="s">
        <v>397</v>
      </c>
      <c r="Q303" s="27" t="s">
        <v>805</v>
      </c>
      <c r="R303" s="33">
        <v>7024</v>
      </c>
      <c r="S303" s="34">
        <v>42030</v>
      </c>
      <c r="T303" s="34">
        <v>42034</v>
      </c>
      <c r="U303" s="29">
        <v>-722.23</v>
      </c>
      <c r="V303" s="26">
        <v>4</v>
      </c>
      <c r="W303" s="29">
        <v>498.31</v>
      </c>
      <c r="X303" s="26">
        <v>90462</v>
      </c>
      <c r="Y303" s="35">
        <v>32.379999999999995</v>
      </c>
      <c r="Z303" s="1" t="s">
        <v>3014</v>
      </c>
      <c r="AA303" s="36">
        <v>24.597999999999999</v>
      </c>
      <c r="AB303" s="54">
        <v>129.56059999999999</v>
      </c>
      <c r="AC303" s="54">
        <v>92.187349999999995</v>
      </c>
      <c r="AD303" s="36">
        <v>1125.742</v>
      </c>
    </row>
    <row r="304" spans="1:30" s="37" customFormat="1" ht="15.75" customHeight="1" x14ac:dyDescent="0.2">
      <c r="A304" s="26">
        <v>2795</v>
      </c>
      <c r="B304" s="27" t="s">
        <v>791</v>
      </c>
      <c r="C304" s="27" t="s">
        <v>48</v>
      </c>
      <c r="D304" s="28">
        <v>7.0000000000000007E-2</v>
      </c>
      <c r="E304" s="29">
        <v>195.99</v>
      </c>
      <c r="F304" s="29">
        <v>8.99</v>
      </c>
      <c r="G304" s="30" t="s">
        <v>39</v>
      </c>
      <c r="H304" s="27" t="s">
        <v>94</v>
      </c>
      <c r="I304" s="27" t="s">
        <v>41</v>
      </c>
      <c r="J304" s="27" t="s">
        <v>135</v>
      </c>
      <c r="K304" s="27" t="s">
        <v>73</v>
      </c>
      <c r="L304" s="31" t="s">
        <v>795</v>
      </c>
      <c r="M304" s="32">
        <v>0.57999999999999996</v>
      </c>
      <c r="N304" s="27" t="s">
        <v>33</v>
      </c>
      <c r="O304" s="27" t="s">
        <v>53</v>
      </c>
      <c r="P304" s="27" t="s">
        <v>213</v>
      </c>
      <c r="Q304" s="27" t="s">
        <v>793</v>
      </c>
      <c r="R304" s="33">
        <v>50401</v>
      </c>
      <c r="S304" s="34">
        <v>42030</v>
      </c>
      <c r="T304" s="34">
        <v>42030</v>
      </c>
      <c r="U304" s="29">
        <v>-457.16</v>
      </c>
      <c r="V304" s="26">
        <v>2</v>
      </c>
      <c r="W304" s="29">
        <v>328.45</v>
      </c>
      <c r="X304" s="26">
        <v>87556</v>
      </c>
      <c r="Y304" s="35">
        <v>4.9600000000000009</v>
      </c>
      <c r="Z304" s="1" t="s">
        <v>3012</v>
      </c>
      <c r="AA304" s="36">
        <v>27.438600000000005</v>
      </c>
      <c r="AB304" s="54">
        <v>137.94900000000001</v>
      </c>
      <c r="AC304" s="54">
        <v>95.250499999999988</v>
      </c>
      <c r="AD304" s="36">
        <v>749.18139999999994</v>
      </c>
    </row>
    <row r="305" spans="1:30" s="37" customFormat="1" ht="15.75" customHeight="1" x14ac:dyDescent="0.2">
      <c r="A305" s="26">
        <v>3155</v>
      </c>
      <c r="B305" s="27" t="s">
        <v>642</v>
      </c>
      <c r="C305" s="27" t="s">
        <v>38</v>
      </c>
      <c r="D305" s="28">
        <v>0.1</v>
      </c>
      <c r="E305" s="29">
        <v>32.479999999999997</v>
      </c>
      <c r="F305" s="29">
        <v>35</v>
      </c>
      <c r="G305" s="30" t="s">
        <v>39</v>
      </c>
      <c r="H305" s="27" t="s">
        <v>94</v>
      </c>
      <c r="I305" s="27" t="s">
        <v>49</v>
      </c>
      <c r="J305" s="27" t="s">
        <v>78</v>
      </c>
      <c r="K305" s="27" t="s">
        <v>65</v>
      </c>
      <c r="L305" s="31" t="s">
        <v>785</v>
      </c>
      <c r="M305" s="32">
        <v>0.81</v>
      </c>
      <c r="N305" s="27" t="s">
        <v>33</v>
      </c>
      <c r="O305" s="27" t="s">
        <v>34</v>
      </c>
      <c r="P305" s="27" t="s">
        <v>123</v>
      </c>
      <c r="Q305" s="27" t="s">
        <v>332</v>
      </c>
      <c r="R305" s="33">
        <v>32771</v>
      </c>
      <c r="S305" s="34">
        <v>42030</v>
      </c>
      <c r="T305" s="34">
        <v>42031</v>
      </c>
      <c r="U305" s="29">
        <v>-333.42540000000002</v>
      </c>
      <c r="V305" s="26">
        <v>10</v>
      </c>
      <c r="W305" s="29">
        <v>318.83</v>
      </c>
      <c r="X305" s="26">
        <v>86899</v>
      </c>
      <c r="Y305" s="35">
        <v>4.9600000000000009</v>
      </c>
      <c r="Z305" s="1" t="s">
        <v>3011</v>
      </c>
      <c r="AA305" s="36">
        <v>32.479999999999997</v>
      </c>
      <c r="AB305" s="54">
        <v>60.577699999999979</v>
      </c>
      <c r="AC305" s="54">
        <v>25.825230000000001</v>
      </c>
      <c r="AD305" s="36">
        <v>584.77539999999999</v>
      </c>
    </row>
    <row r="306" spans="1:30" s="37" customFormat="1" ht="15.75" customHeight="1" x14ac:dyDescent="0.2">
      <c r="A306" s="26">
        <v>1360</v>
      </c>
      <c r="B306" s="27" t="s">
        <v>776</v>
      </c>
      <c r="C306" s="27" t="s">
        <v>38</v>
      </c>
      <c r="D306" s="28">
        <v>0.03</v>
      </c>
      <c r="E306" s="29">
        <v>14.34</v>
      </c>
      <c r="F306" s="29">
        <v>5</v>
      </c>
      <c r="G306" s="30" t="s">
        <v>39</v>
      </c>
      <c r="H306" s="27" t="s">
        <v>40</v>
      </c>
      <c r="I306" s="27" t="s">
        <v>29</v>
      </c>
      <c r="J306" s="27" t="s">
        <v>126</v>
      </c>
      <c r="K306" s="27" t="s">
        <v>43</v>
      </c>
      <c r="L306" s="31" t="s">
        <v>777</v>
      </c>
      <c r="M306" s="32">
        <v>0.49</v>
      </c>
      <c r="N306" s="27" t="s">
        <v>33</v>
      </c>
      <c r="O306" s="27" t="s">
        <v>53</v>
      </c>
      <c r="P306" s="27" t="s">
        <v>213</v>
      </c>
      <c r="Q306" s="27" t="s">
        <v>778</v>
      </c>
      <c r="R306" s="33">
        <v>52761</v>
      </c>
      <c r="S306" s="34">
        <v>42030</v>
      </c>
      <c r="T306" s="34">
        <v>42031</v>
      </c>
      <c r="U306" s="29">
        <v>82.310100000000006</v>
      </c>
      <c r="V306" s="26">
        <v>8</v>
      </c>
      <c r="W306" s="29">
        <v>119.29</v>
      </c>
      <c r="X306" s="26">
        <v>89595</v>
      </c>
      <c r="Y306" s="35">
        <v>3.53</v>
      </c>
      <c r="Z306" s="1" t="s">
        <v>3012</v>
      </c>
      <c r="AA306" s="36">
        <v>3.4415999999999998</v>
      </c>
      <c r="AB306" s="54">
        <v>60.837900000000005</v>
      </c>
      <c r="AC306" s="54">
        <v>7.3065125000000002</v>
      </c>
      <c r="AD306" s="36">
        <v>28.538300000000007</v>
      </c>
    </row>
    <row r="307" spans="1:30" s="37" customFormat="1" ht="15.75" customHeight="1" x14ac:dyDescent="0.2">
      <c r="A307" s="26">
        <v>3361</v>
      </c>
      <c r="B307" s="27" t="s">
        <v>810</v>
      </c>
      <c r="C307" s="27" t="s">
        <v>116</v>
      </c>
      <c r="D307" s="28">
        <v>0.04</v>
      </c>
      <c r="E307" s="29">
        <v>7.96</v>
      </c>
      <c r="F307" s="29">
        <v>4.95</v>
      </c>
      <c r="G307" s="30" t="s">
        <v>39</v>
      </c>
      <c r="H307" s="27" t="s">
        <v>71</v>
      </c>
      <c r="I307" s="27" t="s">
        <v>29</v>
      </c>
      <c r="J307" s="27" t="s">
        <v>126</v>
      </c>
      <c r="K307" s="27" t="s">
        <v>73</v>
      </c>
      <c r="L307" s="31" t="s">
        <v>811</v>
      </c>
      <c r="M307" s="32">
        <v>0.41</v>
      </c>
      <c r="N307" s="27" t="s">
        <v>33</v>
      </c>
      <c r="O307" s="27" t="s">
        <v>53</v>
      </c>
      <c r="P307" s="27" t="s">
        <v>357</v>
      </c>
      <c r="Q307" s="27" t="s">
        <v>812</v>
      </c>
      <c r="R307" s="33">
        <v>53095</v>
      </c>
      <c r="S307" s="34">
        <v>42030</v>
      </c>
      <c r="T307" s="34">
        <v>42030</v>
      </c>
      <c r="U307" s="29">
        <v>-7.73</v>
      </c>
      <c r="V307" s="26">
        <v>15</v>
      </c>
      <c r="W307" s="29">
        <v>116.11</v>
      </c>
      <c r="X307" s="26">
        <v>91436</v>
      </c>
      <c r="Y307" s="35">
        <v>200.94</v>
      </c>
      <c r="Z307" s="1" t="s">
        <v>3012</v>
      </c>
      <c r="AA307" s="36">
        <v>4.7759999999999998</v>
      </c>
      <c r="AB307" s="54">
        <v>68.504900000000006</v>
      </c>
      <c r="AC307" s="54">
        <v>3.1736733333333333</v>
      </c>
      <c r="AD307" s="36">
        <v>114.114</v>
      </c>
    </row>
    <row r="308" spans="1:30" s="37" customFormat="1" ht="15.75" customHeight="1" x14ac:dyDescent="0.2">
      <c r="A308" s="26">
        <v>3155</v>
      </c>
      <c r="B308" s="27" t="s">
        <v>642</v>
      </c>
      <c r="C308" s="27" t="s">
        <v>38</v>
      </c>
      <c r="D308" s="28">
        <v>0.03</v>
      </c>
      <c r="E308" s="29">
        <v>25.98</v>
      </c>
      <c r="F308" s="29">
        <v>14.36</v>
      </c>
      <c r="G308" s="30" t="s">
        <v>27</v>
      </c>
      <c r="H308" s="27" t="s">
        <v>94</v>
      </c>
      <c r="I308" s="27" t="s">
        <v>29</v>
      </c>
      <c r="J308" s="27" t="s">
        <v>109</v>
      </c>
      <c r="K308" s="27" t="s">
        <v>58</v>
      </c>
      <c r="L308" s="31" t="s">
        <v>784</v>
      </c>
      <c r="M308" s="32">
        <v>0.6</v>
      </c>
      <c r="N308" s="27" t="s">
        <v>33</v>
      </c>
      <c r="O308" s="27" t="s">
        <v>34</v>
      </c>
      <c r="P308" s="27" t="s">
        <v>123</v>
      </c>
      <c r="Q308" s="27" t="s">
        <v>332</v>
      </c>
      <c r="R308" s="33">
        <v>32771</v>
      </c>
      <c r="S308" s="34">
        <v>42030</v>
      </c>
      <c r="T308" s="34">
        <v>42031</v>
      </c>
      <c r="U308" s="29">
        <v>57.545999999999999</v>
      </c>
      <c r="V308" s="26">
        <v>4</v>
      </c>
      <c r="W308" s="29">
        <v>107.66</v>
      </c>
      <c r="X308" s="26">
        <v>86899</v>
      </c>
      <c r="Y308" s="35">
        <v>195.92000000000002</v>
      </c>
      <c r="Z308" s="1" t="s">
        <v>3011</v>
      </c>
      <c r="AA308" s="36">
        <v>3.1175999999999999</v>
      </c>
      <c r="AB308" s="54">
        <v>43.064</v>
      </c>
      <c r="AC308" s="54">
        <v>16.148999999999997</v>
      </c>
      <c r="AD308" s="36">
        <v>32.636399999999995</v>
      </c>
    </row>
    <row r="309" spans="1:30" s="37" customFormat="1" ht="15.75" customHeight="1" x14ac:dyDescent="0.2">
      <c r="A309" s="26">
        <v>1129</v>
      </c>
      <c r="B309" s="27" t="s">
        <v>786</v>
      </c>
      <c r="C309" s="27" t="s">
        <v>48</v>
      </c>
      <c r="D309" s="28">
        <v>0.02</v>
      </c>
      <c r="E309" s="29">
        <v>4.9800000000000004</v>
      </c>
      <c r="F309" s="29">
        <v>6.07</v>
      </c>
      <c r="G309" s="30" t="s">
        <v>39</v>
      </c>
      <c r="H309" s="27" t="s">
        <v>71</v>
      </c>
      <c r="I309" s="27" t="s">
        <v>49</v>
      </c>
      <c r="J309" s="27" t="s">
        <v>88</v>
      </c>
      <c r="K309" s="27" t="s">
        <v>73</v>
      </c>
      <c r="L309" s="31" t="s">
        <v>787</v>
      </c>
      <c r="M309" s="32">
        <v>0.36</v>
      </c>
      <c r="N309" s="27" t="s">
        <v>33</v>
      </c>
      <c r="O309" s="27" t="s">
        <v>111</v>
      </c>
      <c r="P309" s="27" t="s">
        <v>403</v>
      </c>
      <c r="Q309" s="27" t="s">
        <v>788</v>
      </c>
      <c r="R309" s="33">
        <v>2118</v>
      </c>
      <c r="S309" s="34">
        <v>42030</v>
      </c>
      <c r="T309" s="34">
        <v>42032</v>
      </c>
      <c r="U309" s="29">
        <v>-46.92</v>
      </c>
      <c r="V309" s="26">
        <v>19</v>
      </c>
      <c r="W309" s="29">
        <v>105.5</v>
      </c>
      <c r="X309" s="26">
        <v>57794</v>
      </c>
      <c r="Y309" s="35">
        <v>10.130000000000001</v>
      </c>
      <c r="Z309" s="1" t="s">
        <v>3014</v>
      </c>
      <c r="AA309" s="36">
        <v>1.8924000000000001</v>
      </c>
      <c r="AB309" s="54">
        <v>67.52</v>
      </c>
      <c r="AC309" s="54">
        <v>1.9989473684210524</v>
      </c>
      <c r="AD309" s="36">
        <v>144.45760000000001</v>
      </c>
    </row>
    <row r="310" spans="1:30" s="37" customFormat="1" ht="15.75" customHeight="1" x14ac:dyDescent="0.2">
      <c r="A310" s="26">
        <v>3307</v>
      </c>
      <c r="B310" s="27" t="s">
        <v>798</v>
      </c>
      <c r="C310" s="27" t="s">
        <v>48</v>
      </c>
      <c r="D310" s="28">
        <v>7.0000000000000007E-2</v>
      </c>
      <c r="E310" s="29">
        <v>16.739999999999998</v>
      </c>
      <c r="F310" s="29">
        <v>7.04</v>
      </c>
      <c r="G310" s="30" t="s">
        <v>39</v>
      </c>
      <c r="H310" s="27" t="s">
        <v>3095</v>
      </c>
      <c r="I310" s="27" t="s">
        <v>49</v>
      </c>
      <c r="J310" s="27" t="s">
        <v>78</v>
      </c>
      <c r="K310" s="27" t="s">
        <v>73</v>
      </c>
      <c r="L310" s="31" t="s">
        <v>799</v>
      </c>
      <c r="M310" s="32">
        <v>0.81</v>
      </c>
      <c r="N310" s="27" t="s">
        <v>33</v>
      </c>
      <c r="O310" s="27" t="s">
        <v>111</v>
      </c>
      <c r="P310" s="27" t="s">
        <v>403</v>
      </c>
      <c r="Q310" s="27" t="s">
        <v>800</v>
      </c>
      <c r="R310" s="33">
        <v>1001</v>
      </c>
      <c r="S310" s="34">
        <v>42030</v>
      </c>
      <c r="T310" s="34">
        <v>42037</v>
      </c>
      <c r="U310" s="29">
        <v>-114.2</v>
      </c>
      <c r="V310" s="26">
        <v>5</v>
      </c>
      <c r="W310" s="29">
        <v>80.58</v>
      </c>
      <c r="X310" s="26">
        <v>90462</v>
      </c>
      <c r="Y310" s="35">
        <v>16.669999999999998</v>
      </c>
      <c r="Z310" s="1" t="s">
        <v>3014</v>
      </c>
      <c r="AA310" s="36">
        <v>5.859</v>
      </c>
      <c r="AB310" s="54">
        <v>15.310199999999995</v>
      </c>
      <c r="AC310" s="54">
        <v>13.05396</v>
      </c>
      <c r="AD310" s="36">
        <v>181.881</v>
      </c>
    </row>
    <row r="311" spans="1:30" s="37" customFormat="1" ht="15.75" customHeight="1" x14ac:dyDescent="0.2">
      <c r="A311" s="26">
        <v>3311</v>
      </c>
      <c r="B311" s="27" t="s">
        <v>801</v>
      </c>
      <c r="C311" s="27" t="s">
        <v>48</v>
      </c>
      <c r="D311" s="28">
        <v>0.06</v>
      </c>
      <c r="E311" s="29">
        <v>6.45</v>
      </c>
      <c r="F311" s="29">
        <v>1.34</v>
      </c>
      <c r="G311" s="30" t="s">
        <v>39</v>
      </c>
      <c r="H311" s="27" t="s">
        <v>3095</v>
      </c>
      <c r="I311" s="27" t="s">
        <v>49</v>
      </c>
      <c r="J311" s="27" t="s">
        <v>88</v>
      </c>
      <c r="K311" s="27" t="s">
        <v>51</v>
      </c>
      <c r="L311" s="31" t="s">
        <v>486</v>
      </c>
      <c r="M311" s="32">
        <v>0.36</v>
      </c>
      <c r="N311" s="27" t="s">
        <v>33</v>
      </c>
      <c r="O311" s="27" t="s">
        <v>111</v>
      </c>
      <c r="P311" s="27" t="s">
        <v>403</v>
      </c>
      <c r="Q311" s="27" t="s">
        <v>802</v>
      </c>
      <c r="R311" s="33">
        <v>1890</v>
      </c>
      <c r="S311" s="34">
        <v>42030</v>
      </c>
      <c r="T311" s="34">
        <v>42035</v>
      </c>
      <c r="U311" s="29">
        <v>39.426600000000001</v>
      </c>
      <c r="V311" s="26">
        <v>9</v>
      </c>
      <c r="W311" s="29">
        <v>57.14</v>
      </c>
      <c r="X311" s="26">
        <v>90462</v>
      </c>
      <c r="Y311" s="35">
        <v>6.3900000000000006</v>
      </c>
      <c r="Z311" s="1" t="s">
        <v>3014</v>
      </c>
      <c r="AA311" s="36">
        <v>3.4830000000000001</v>
      </c>
      <c r="AB311" s="54">
        <v>36.569600000000001</v>
      </c>
      <c r="AC311" s="54">
        <v>2.2856000000000001</v>
      </c>
      <c r="AD311" s="36">
        <v>12.8904</v>
      </c>
    </row>
    <row r="312" spans="1:30" s="37" customFormat="1" ht="15.75" customHeight="1" x14ac:dyDescent="0.2">
      <c r="A312" s="26">
        <v>3000</v>
      </c>
      <c r="B312" s="27" t="s">
        <v>796</v>
      </c>
      <c r="C312" s="27" t="s">
        <v>48</v>
      </c>
      <c r="D312" s="28">
        <v>0.01</v>
      </c>
      <c r="E312" s="29">
        <v>10.14</v>
      </c>
      <c r="F312" s="29">
        <v>2.27</v>
      </c>
      <c r="G312" s="30" t="s">
        <v>39</v>
      </c>
      <c r="H312" s="27" t="s">
        <v>40</v>
      </c>
      <c r="I312" s="27" t="s">
        <v>49</v>
      </c>
      <c r="J312" s="27" t="s">
        <v>88</v>
      </c>
      <c r="K312" s="27" t="s">
        <v>51</v>
      </c>
      <c r="L312" s="31" t="s">
        <v>171</v>
      </c>
      <c r="M312" s="32">
        <v>0.36</v>
      </c>
      <c r="N312" s="27" t="s">
        <v>33</v>
      </c>
      <c r="O312" s="27" t="s">
        <v>53</v>
      </c>
      <c r="P312" s="27" t="s">
        <v>289</v>
      </c>
      <c r="Q312" s="27" t="s">
        <v>797</v>
      </c>
      <c r="R312" s="33">
        <v>48342</v>
      </c>
      <c r="S312" s="34">
        <v>42030</v>
      </c>
      <c r="T312" s="34">
        <v>42032</v>
      </c>
      <c r="U312" s="29">
        <v>28.152000000000001</v>
      </c>
      <c r="V312" s="26">
        <v>4</v>
      </c>
      <c r="W312" s="29">
        <v>40.799999999999997</v>
      </c>
      <c r="X312" s="26">
        <v>87042</v>
      </c>
      <c r="Y312" s="35">
        <v>122.94</v>
      </c>
      <c r="Z312" s="1" t="s">
        <v>3012</v>
      </c>
      <c r="AA312" s="36">
        <v>0.40560000000000002</v>
      </c>
      <c r="AB312" s="54">
        <v>26.111999999999998</v>
      </c>
      <c r="AC312" s="54">
        <v>3.6719999999999997</v>
      </c>
      <c r="AD312" s="36">
        <v>9.9723999999999968</v>
      </c>
    </row>
    <row r="313" spans="1:30" s="37" customFormat="1" ht="15.75" customHeight="1" x14ac:dyDescent="0.2">
      <c r="A313" s="26">
        <v>2795</v>
      </c>
      <c r="B313" s="27" t="s">
        <v>791</v>
      </c>
      <c r="C313" s="27" t="s">
        <v>48</v>
      </c>
      <c r="D313" s="28">
        <v>0.04</v>
      </c>
      <c r="E313" s="29">
        <v>3.57</v>
      </c>
      <c r="F313" s="29">
        <v>4.17</v>
      </c>
      <c r="G313" s="30" t="s">
        <v>39</v>
      </c>
      <c r="H313" s="27" t="s">
        <v>94</v>
      </c>
      <c r="I313" s="27" t="s">
        <v>49</v>
      </c>
      <c r="J313" s="27" t="s">
        <v>50</v>
      </c>
      <c r="K313" s="27" t="s">
        <v>43</v>
      </c>
      <c r="L313" s="31" t="s">
        <v>792</v>
      </c>
      <c r="M313" s="32">
        <v>0.59</v>
      </c>
      <c r="N313" s="27" t="s">
        <v>33</v>
      </c>
      <c r="O313" s="27" t="s">
        <v>53</v>
      </c>
      <c r="P313" s="27" t="s">
        <v>213</v>
      </c>
      <c r="Q313" s="27" t="s">
        <v>793</v>
      </c>
      <c r="R313" s="33">
        <v>50401</v>
      </c>
      <c r="S313" s="34">
        <v>42030</v>
      </c>
      <c r="T313" s="34">
        <v>42032</v>
      </c>
      <c r="U313" s="29">
        <v>-69.91</v>
      </c>
      <c r="V313" s="26">
        <v>8</v>
      </c>
      <c r="W313" s="29">
        <v>30.9</v>
      </c>
      <c r="X313" s="26">
        <v>87556</v>
      </c>
      <c r="Y313" s="35">
        <v>90.9</v>
      </c>
      <c r="Z313" s="1" t="s">
        <v>3012</v>
      </c>
      <c r="AA313" s="36">
        <v>1.1424000000000001</v>
      </c>
      <c r="AB313" s="54">
        <v>12.669</v>
      </c>
      <c r="AC313" s="54">
        <v>2.2788749999999998</v>
      </c>
      <c r="AD313" s="36">
        <v>95.497600000000006</v>
      </c>
    </row>
    <row r="314" spans="1:30" s="37" customFormat="1" ht="15.75" customHeight="1" x14ac:dyDescent="0.2">
      <c r="A314" s="26">
        <v>1133</v>
      </c>
      <c r="B314" s="27" t="s">
        <v>789</v>
      </c>
      <c r="C314" s="27" t="s">
        <v>48</v>
      </c>
      <c r="D314" s="28">
        <v>0.02</v>
      </c>
      <c r="E314" s="29">
        <v>4.9800000000000004</v>
      </c>
      <c r="F314" s="29">
        <v>6.07</v>
      </c>
      <c r="G314" s="30" t="s">
        <v>39</v>
      </c>
      <c r="H314" s="27" t="s">
        <v>71</v>
      </c>
      <c r="I314" s="27" t="s">
        <v>49</v>
      </c>
      <c r="J314" s="27" t="s">
        <v>88</v>
      </c>
      <c r="K314" s="27" t="s">
        <v>73</v>
      </c>
      <c r="L314" s="31" t="s">
        <v>787</v>
      </c>
      <c r="M314" s="32">
        <v>0.36</v>
      </c>
      <c r="N314" s="27" t="s">
        <v>33</v>
      </c>
      <c r="O314" s="27" t="s">
        <v>53</v>
      </c>
      <c r="P314" s="27" t="s">
        <v>187</v>
      </c>
      <c r="Q314" s="27" t="s">
        <v>790</v>
      </c>
      <c r="R314" s="33">
        <v>75234</v>
      </c>
      <c r="S314" s="34">
        <v>42030</v>
      </c>
      <c r="T314" s="34">
        <v>42032</v>
      </c>
      <c r="U314" s="29">
        <v>-46.92</v>
      </c>
      <c r="V314" s="26">
        <v>5</v>
      </c>
      <c r="W314" s="29">
        <v>27.76</v>
      </c>
      <c r="X314" s="26">
        <v>88105</v>
      </c>
      <c r="Y314" s="35">
        <v>5.91</v>
      </c>
      <c r="Z314" s="1" t="s">
        <v>3012</v>
      </c>
      <c r="AA314" s="36">
        <v>0.49800000000000005</v>
      </c>
      <c r="AB314" s="54">
        <v>17.766400000000001</v>
      </c>
      <c r="AC314" s="54">
        <v>1.9987200000000001</v>
      </c>
      <c r="AD314" s="36">
        <v>68.112000000000009</v>
      </c>
    </row>
    <row r="315" spans="1:30" s="37" customFormat="1" ht="15.75" customHeight="1" x14ac:dyDescent="0.2">
      <c r="A315" s="26">
        <v>1946</v>
      </c>
      <c r="B315" s="27" t="s">
        <v>806</v>
      </c>
      <c r="C315" s="27" t="s">
        <v>116</v>
      </c>
      <c r="D315" s="28">
        <v>7.0000000000000007E-2</v>
      </c>
      <c r="E315" s="29">
        <v>5.98</v>
      </c>
      <c r="F315" s="29">
        <v>5.35</v>
      </c>
      <c r="G315" s="30" t="s">
        <v>39</v>
      </c>
      <c r="H315" s="27" t="s">
        <v>40</v>
      </c>
      <c r="I315" s="27" t="s">
        <v>49</v>
      </c>
      <c r="J315" s="27" t="s">
        <v>88</v>
      </c>
      <c r="K315" s="27" t="s">
        <v>73</v>
      </c>
      <c r="L315" s="31" t="s">
        <v>809</v>
      </c>
      <c r="M315" s="32">
        <v>0.4</v>
      </c>
      <c r="N315" s="27" t="s">
        <v>33</v>
      </c>
      <c r="O315" s="27" t="s">
        <v>111</v>
      </c>
      <c r="P315" s="27" t="s">
        <v>320</v>
      </c>
      <c r="Q315" s="27" t="s">
        <v>808</v>
      </c>
      <c r="R315" s="33">
        <v>15228</v>
      </c>
      <c r="S315" s="34">
        <v>42030</v>
      </c>
      <c r="T315" s="34">
        <v>42032</v>
      </c>
      <c r="U315" s="29">
        <v>-37.175199999999997</v>
      </c>
      <c r="V315" s="26">
        <v>3</v>
      </c>
      <c r="W315" s="29">
        <v>18.309999999999999</v>
      </c>
      <c r="X315" s="26">
        <v>86331</v>
      </c>
      <c r="Y315" s="35">
        <v>7.92</v>
      </c>
      <c r="Z315" s="1" t="s">
        <v>3014</v>
      </c>
      <c r="AA315" s="36">
        <v>1.2558000000000002</v>
      </c>
      <c r="AB315" s="54">
        <v>10.985999999999999</v>
      </c>
      <c r="AC315" s="54">
        <v>2.4413333333333331</v>
      </c>
      <c r="AD315" s="36">
        <v>48.87939999999999</v>
      </c>
    </row>
    <row r="316" spans="1:30" s="37" customFormat="1" ht="15.75" customHeight="1" x14ac:dyDescent="0.2">
      <c r="A316" s="26">
        <v>1361</v>
      </c>
      <c r="B316" s="27" t="s">
        <v>779</v>
      </c>
      <c r="C316" s="27" t="s">
        <v>38</v>
      </c>
      <c r="D316" s="28">
        <v>0.01</v>
      </c>
      <c r="E316" s="29">
        <v>2.89</v>
      </c>
      <c r="F316" s="29">
        <v>0.5</v>
      </c>
      <c r="G316" s="30" t="s">
        <v>39</v>
      </c>
      <c r="H316" s="27" t="s">
        <v>40</v>
      </c>
      <c r="I316" s="27" t="s">
        <v>49</v>
      </c>
      <c r="J316" s="27" t="s">
        <v>152</v>
      </c>
      <c r="K316" s="27" t="s">
        <v>73</v>
      </c>
      <c r="L316" s="31" t="s">
        <v>729</v>
      </c>
      <c r="M316" s="32">
        <v>0.38</v>
      </c>
      <c r="N316" s="27" t="s">
        <v>33</v>
      </c>
      <c r="O316" s="27" t="s">
        <v>53</v>
      </c>
      <c r="P316" s="27" t="s">
        <v>289</v>
      </c>
      <c r="Q316" s="27" t="s">
        <v>780</v>
      </c>
      <c r="R316" s="33">
        <v>48101</v>
      </c>
      <c r="S316" s="34">
        <v>42030</v>
      </c>
      <c r="T316" s="34">
        <v>42032</v>
      </c>
      <c r="U316" s="29">
        <v>1.2236</v>
      </c>
      <c r="V316" s="26">
        <v>1</v>
      </c>
      <c r="W316" s="29">
        <v>3.08</v>
      </c>
      <c r="X316" s="26">
        <v>89595</v>
      </c>
      <c r="Y316" s="35">
        <v>207.39</v>
      </c>
      <c r="Z316" s="1" t="s">
        <v>3012</v>
      </c>
      <c r="AA316" s="36">
        <v>2.8900000000000002E-2</v>
      </c>
      <c r="AB316" s="54">
        <v>1.9096</v>
      </c>
      <c r="AC316" s="54">
        <v>1.1704000000000001</v>
      </c>
      <c r="AD316" s="36">
        <v>1.3275000000000001</v>
      </c>
    </row>
    <row r="317" spans="1:30" s="37" customFormat="1" ht="15.75" customHeight="1" x14ac:dyDescent="0.2">
      <c r="A317" s="26">
        <v>2281</v>
      </c>
      <c r="B317" s="27" t="s">
        <v>837</v>
      </c>
      <c r="C317" s="27" t="s">
        <v>3094</v>
      </c>
      <c r="D317" s="28">
        <v>0.08</v>
      </c>
      <c r="E317" s="29">
        <v>205.99</v>
      </c>
      <c r="F317" s="29">
        <v>2.5</v>
      </c>
      <c r="G317" s="30" t="s">
        <v>39</v>
      </c>
      <c r="H317" s="27" t="s">
        <v>71</v>
      </c>
      <c r="I317" s="27" t="s">
        <v>41</v>
      </c>
      <c r="J317" s="27" t="s">
        <v>135</v>
      </c>
      <c r="K317" s="27" t="s">
        <v>73</v>
      </c>
      <c r="L317" s="31" t="s">
        <v>838</v>
      </c>
      <c r="M317" s="32">
        <v>0.59</v>
      </c>
      <c r="N317" s="27" t="s">
        <v>33</v>
      </c>
      <c r="O317" s="27" t="s">
        <v>53</v>
      </c>
      <c r="P317" s="27" t="s">
        <v>357</v>
      </c>
      <c r="Q317" s="27" t="s">
        <v>839</v>
      </c>
      <c r="R317" s="33">
        <v>54703</v>
      </c>
      <c r="S317" s="34">
        <v>42031</v>
      </c>
      <c r="T317" s="34">
        <v>42032</v>
      </c>
      <c r="U317" s="29">
        <v>997.38144</v>
      </c>
      <c r="V317" s="26">
        <v>10</v>
      </c>
      <c r="W317" s="29">
        <v>1610.84</v>
      </c>
      <c r="X317" s="26">
        <v>85948</v>
      </c>
      <c r="Y317" s="35">
        <v>11.940000000000001</v>
      </c>
      <c r="Z317" s="1" t="s">
        <v>3012</v>
      </c>
      <c r="AA317" s="36">
        <v>164.79200000000003</v>
      </c>
      <c r="AB317" s="54">
        <v>660.44439999999997</v>
      </c>
      <c r="AC317" s="54">
        <v>95.039559999999994</v>
      </c>
      <c r="AD317" s="36">
        <v>446.16655999999989</v>
      </c>
    </row>
    <row r="318" spans="1:30" s="37" customFormat="1" ht="15.75" customHeight="1" x14ac:dyDescent="0.2">
      <c r="A318" s="26">
        <v>1351</v>
      </c>
      <c r="B318" s="27" t="s">
        <v>834</v>
      </c>
      <c r="C318" s="27" t="s">
        <v>3094</v>
      </c>
      <c r="D318" s="28">
        <v>0.1</v>
      </c>
      <c r="E318" s="29">
        <v>110.99</v>
      </c>
      <c r="F318" s="29">
        <v>8.99</v>
      </c>
      <c r="G318" s="30" t="s">
        <v>87</v>
      </c>
      <c r="H318" s="27" t="s">
        <v>71</v>
      </c>
      <c r="I318" s="27" t="s">
        <v>41</v>
      </c>
      <c r="J318" s="27" t="s">
        <v>135</v>
      </c>
      <c r="K318" s="27" t="s">
        <v>73</v>
      </c>
      <c r="L318" s="31" t="s">
        <v>835</v>
      </c>
      <c r="M318" s="32">
        <v>0.56999999999999995</v>
      </c>
      <c r="N318" s="27" t="s">
        <v>33</v>
      </c>
      <c r="O318" s="27" t="s">
        <v>34</v>
      </c>
      <c r="P318" s="27" t="s">
        <v>123</v>
      </c>
      <c r="Q318" s="27" t="s">
        <v>836</v>
      </c>
      <c r="R318" s="33">
        <v>33063</v>
      </c>
      <c r="S318" s="34">
        <v>42031</v>
      </c>
      <c r="T318" s="34">
        <v>42033</v>
      </c>
      <c r="U318" s="29">
        <v>3285.48</v>
      </c>
      <c r="V318" s="26">
        <v>7</v>
      </c>
      <c r="W318" s="29">
        <v>627.78</v>
      </c>
      <c r="X318" s="26">
        <v>88232</v>
      </c>
      <c r="Y318" s="35">
        <v>2.85</v>
      </c>
      <c r="Z318" s="1" t="s">
        <v>3011</v>
      </c>
      <c r="AA318" s="36">
        <v>77.692999999999998</v>
      </c>
      <c r="AB318" s="54">
        <v>269.94540000000001</v>
      </c>
      <c r="AC318" s="54">
        <v>51.119228571428572</v>
      </c>
      <c r="AD318" s="36">
        <v>-2744.3829999999998</v>
      </c>
    </row>
    <row r="319" spans="1:30" s="37" customFormat="1" ht="15.75" customHeight="1" x14ac:dyDescent="0.2">
      <c r="A319" s="26">
        <v>898</v>
      </c>
      <c r="B319" s="27" t="s">
        <v>424</v>
      </c>
      <c r="C319" s="27" t="s">
        <v>3094</v>
      </c>
      <c r="D319" s="28">
        <v>0.02</v>
      </c>
      <c r="E319" s="29">
        <v>12.53</v>
      </c>
      <c r="F319" s="29">
        <v>0.49</v>
      </c>
      <c r="G319" s="30" t="s">
        <v>39</v>
      </c>
      <c r="H319" s="27" t="s">
        <v>3095</v>
      </c>
      <c r="I319" s="27" t="s">
        <v>49</v>
      </c>
      <c r="J319" s="27" t="s">
        <v>152</v>
      </c>
      <c r="K319" s="27" t="s">
        <v>73</v>
      </c>
      <c r="L319" s="31" t="s">
        <v>153</v>
      </c>
      <c r="M319" s="32">
        <v>0.38</v>
      </c>
      <c r="N319" s="27" t="s">
        <v>33</v>
      </c>
      <c r="O319" s="27" t="s">
        <v>111</v>
      </c>
      <c r="P319" s="27" t="s">
        <v>112</v>
      </c>
      <c r="Q319" s="27" t="s">
        <v>113</v>
      </c>
      <c r="R319" s="33">
        <v>10039</v>
      </c>
      <c r="S319" s="34">
        <v>42031</v>
      </c>
      <c r="T319" s="34">
        <v>42031</v>
      </c>
      <c r="U319" s="29">
        <v>263.39999999999998</v>
      </c>
      <c r="V319" s="26">
        <v>47</v>
      </c>
      <c r="W319" s="29">
        <v>594.44000000000005</v>
      </c>
      <c r="X319" s="26">
        <v>9606</v>
      </c>
      <c r="Y319" s="35">
        <v>43.949999999999996</v>
      </c>
      <c r="Z319" s="1" t="s">
        <v>3014</v>
      </c>
      <c r="AA319" s="36">
        <v>11.7782</v>
      </c>
      <c r="AB319" s="54">
        <v>368.55280000000005</v>
      </c>
      <c r="AC319" s="54">
        <v>4.8061106382978727</v>
      </c>
      <c r="AD319" s="36">
        <v>318.77180000000004</v>
      </c>
    </row>
    <row r="320" spans="1:30" s="37" customFormat="1" ht="15.75" customHeight="1" x14ac:dyDescent="0.2">
      <c r="A320" s="26">
        <v>2980</v>
      </c>
      <c r="B320" s="27" t="s">
        <v>821</v>
      </c>
      <c r="C320" s="27" t="s">
        <v>26</v>
      </c>
      <c r="D320" s="28">
        <v>0.03</v>
      </c>
      <c r="E320" s="29">
        <v>43.98</v>
      </c>
      <c r="F320" s="29">
        <v>8.99</v>
      </c>
      <c r="G320" s="30" t="s">
        <v>39</v>
      </c>
      <c r="H320" s="27" t="s">
        <v>94</v>
      </c>
      <c r="I320" s="27" t="s">
        <v>49</v>
      </c>
      <c r="J320" s="27" t="s">
        <v>50</v>
      </c>
      <c r="K320" s="27" t="s">
        <v>43</v>
      </c>
      <c r="L320" s="31" t="s">
        <v>822</v>
      </c>
      <c r="M320" s="32">
        <v>0.57999999999999996</v>
      </c>
      <c r="N320" s="27" t="s">
        <v>33</v>
      </c>
      <c r="O320" s="27" t="s">
        <v>111</v>
      </c>
      <c r="P320" s="27" t="s">
        <v>317</v>
      </c>
      <c r="Q320" s="27" t="s">
        <v>823</v>
      </c>
      <c r="R320" s="33">
        <v>44870</v>
      </c>
      <c r="S320" s="34">
        <v>42031</v>
      </c>
      <c r="T320" s="34">
        <v>42033</v>
      </c>
      <c r="U320" s="29">
        <v>274.0788</v>
      </c>
      <c r="V320" s="26">
        <v>10</v>
      </c>
      <c r="W320" s="29">
        <v>454.4</v>
      </c>
      <c r="X320" s="26">
        <v>86544</v>
      </c>
      <c r="Y320" s="35">
        <v>1.0799999999999998</v>
      </c>
      <c r="Z320" s="1" t="s">
        <v>3014</v>
      </c>
      <c r="AA320" s="36">
        <v>13.193999999999999</v>
      </c>
      <c r="AB320" s="54">
        <v>190.84800000000001</v>
      </c>
      <c r="AC320" s="54">
        <v>26.355199999999996</v>
      </c>
      <c r="AD320" s="36">
        <v>158.13719999999995</v>
      </c>
    </row>
    <row r="321" spans="1:30" s="37" customFormat="1" ht="15.75" customHeight="1" x14ac:dyDescent="0.2">
      <c r="A321" s="26">
        <v>898</v>
      </c>
      <c r="B321" s="27" t="s">
        <v>424</v>
      </c>
      <c r="C321" s="27" t="s">
        <v>3094</v>
      </c>
      <c r="D321" s="28">
        <v>7.0000000000000007E-2</v>
      </c>
      <c r="E321" s="29">
        <v>5.18</v>
      </c>
      <c r="F321" s="29">
        <v>2.04</v>
      </c>
      <c r="G321" s="30" t="s">
        <v>87</v>
      </c>
      <c r="H321" s="27" t="s">
        <v>3095</v>
      </c>
      <c r="I321" s="27" t="s">
        <v>49</v>
      </c>
      <c r="J321" s="27" t="s">
        <v>88</v>
      </c>
      <c r="K321" s="27" t="s">
        <v>51</v>
      </c>
      <c r="L321" s="31" t="s">
        <v>833</v>
      </c>
      <c r="M321" s="32">
        <v>0.36</v>
      </c>
      <c r="N321" s="27" t="s">
        <v>33</v>
      </c>
      <c r="O321" s="27" t="s">
        <v>111</v>
      </c>
      <c r="P321" s="27" t="s">
        <v>112</v>
      </c>
      <c r="Q321" s="27" t="s">
        <v>113</v>
      </c>
      <c r="R321" s="33">
        <v>10039</v>
      </c>
      <c r="S321" s="34">
        <v>42031</v>
      </c>
      <c r="T321" s="34">
        <v>42033</v>
      </c>
      <c r="U321" s="29">
        <v>37.31</v>
      </c>
      <c r="V321" s="26">
        <v>44</v>
      </c>
      <c r="W321" s="29">
        <v>228.5</v>
      </c>
      <c r="X321" s="26">
        <v>9606</v>
      </c>
      <c r="Y321" s="35">
        <v>6.2</v>
      </c>
      <c r="Z321" s="1" t="s">
        <v>3014</v>
      </c>
      <c r="AA321" s="36">
        <v>15.954400000000001</v>
      </c>
      <c r="AB321" s="54">
        <v>146.24</v>
      </c>
      <c r="AC321" s="54">
        <v>1.8695454545454546</v>
      </c>
      <c r="AD321" s="36">
        <v>173.19560000000001</v>
      </c>
    </row>
    <row r="322" spans="1:30" s="37" customFormat="1" ht="15.75" customHeight="1" x14ac:dyDescent="0.2">
      <c r="A322" s="26">
        <v>899</v>
      </c>
      <c r="B322" s="27" t="s">
        <v>426</v>
      </c>
      <c r="C322" s="27" t="s">
        <v>3094</v>
      </c>
      <c r="D322" s="28">
        <v>0.02</v>
      </c>
      <c r="E322" s="29">
        <v>12.53</v>
      </c>
      <c r="F322" s="29">
        <v>0.49</v>
      </c>
      <c r="G322" s="30" t="s">
        <v>39</v>
      </c>
      <c r="H322" s="27" t="s">
        <v>3095</v>
      </c>
      <c r="I322" s="27" t="s">
        <v>49</v>
      </c>
      <c r="J322" s="27" t="s">
        <v>152</v>
      </c>
      <c r="K322" s="27" t="s">
        <v>73</v>
      </c>
      <c r="L322" s="31" t="s">
        <v>153</v>
      </c>
      <c r="M322" s="32">
        <v>0.38</v>
      </c>
      <c r="N322" s="27" t="s">
        <v>33</v>
      </c>
      <c r="O322" s="27" t="s">
        <v>111</v>
      </c>
      <c r="P322" s="27" t="s">
        <v>320</v>
      </c>
      <c r="Q322" s="27" t="s">
        <v>427</v>
      </c>
      <c r="R322" s="33">
        <v>16602</v>
      </c>
      <c r="S322" s="34">
        <v>42031</v>
      </c>
      <c r="T322" s="34">
        <v>42031</v>
      </c>
      <c r="U322" s="29">
        <v>104.7213</v>
      </c>
      <c r="V322" s="26">
        <v>12</v>
      </c>
      <c r="W322" s="29">
        <v>151.77000000000001</v>
      </c>
      <c r="X322" s="26">
        <v>86264</v>
      </c>
      <c r="Y322" s="35">
        <v>2.86</v>
      </c>
      <c r="Z322" s="1" t="s">
        <v>3014</v>
      </c>
      <c r="AA322" s="36">
        <v>3.0072000000000001</v>
      </c>
      <c r="AB322" s="54">
        <v>94.097400000000007</v>
      </c>
      <c r="AC322" s="54">
        <v>4.8060500000000008</v>
      </c>
      <c r="AD322" s="36">
        <v>43.551500000000019</v>
      </c>
    </row>
    <row r="323" spans="1:30" s="37" customFormat="1" ht="15.75" customHeight="1" x14ac:dyDescent="0.2">
      <c r="A323" s="26">
        <v>3347</v>
      </c>
      <c r="B323" s="27" t="s">
        <v>265</v>
      </c>
      <c r="C323" s="27" t="s">
        <v>116</v>
      </c>
      <c r="D323" s="28">
        <v>0.02</v>
      </c>
      <c r="E323" s="29">
        <v>110.99</v>
      </c>
      <c r="F323" s="29">
        <v>2.5</v>
      </c>
      <c r="G323" s="30" t="s">
        <v>39</v>
      </c>
      <c r="H323" s="27" t="s">
        <v>40</v>
      </c>
      <c r="I323" s="27" t="s">
        <v>41</v>
      </c>
      <c r="J323" s="27" t="s">
        <v>135</v>
      </c>
      <c r="K323" s="27" t="s">
        <v>73</v>
      </c>
      <c r="L323" s="31" t="s">
        <v>136</v>
      </c>
      <c r="M323" s="32">
        <v>0.56999999999999995</v>
      </c>
      <c r="N323" s="27" t="s">
        <v>33</v>
      </c>
      <c r="O323" s="27" t="s">
        <v>34</v>
      </c>
      <c r="P323" s="27" t="s">
        <v>123</v>
      </c>
      <c r="Q323" s="27" t="s">
        <v>267</v>
      </c>
      <c r="R323" s="33">
        <v>33411</v>
      </c>
      <c r="S323" s="34">
        <v>42031</v>
      </c>
      <c r="T323" s="34">
        <v>42033</v>
      </c>
      <c r="U323" s="29">
        <v>-39.808999999999997</v>
      </c>
      <c r="V323" s="26">
        <v>1</v>
      </c>
      <c r="W323" s="29">
        <v>94.3</v>
      </c>
      <c r="X323" s="26">
        <v>89356</v>
      </c>
      <c r="Y323" s="35">
        <v>110.97</v>
      </c>
      <c r="Z323" s="1" t="s">
        <v>3011</v>
      </c>
      <c r="AA323" s="36">
        <v>2.2197999999999998</v>
      </c>
      <c r="AB323" s="54">
        <v>40.549000000000007</v>
      </c>
      <c r="AC323" s="54">
        <v>53.750999999999991</v>
      </c>
      <c r="AD323" s="36">
        <v>129.38919999999999</v>
      </c>
    </row>
    <row r="324" spans="1:30" s="37" customFormat="1" ht="15.75" customHeight="1" x14ac:dyDescent="0.2">
      <c r="A324" s="26">
        <v>483</v>
      </c>
      <c r="B324" s="27" t="s">
        <v>815</v>
      </c>
      <c r="C324" s="27" t="s">
        <v>26</v>
      </c>
      <c r="D324" s="28">
        <v>0.03</v>
      </c>
      <c r="E324" s="29">
        <v>11.97</v>
      </c>
      <c r="F324" s="29">
        <v>4.9800000000000004</v>
      </c>
      <c r="G324" s="30" t="s">
        <v>39</v>
      </c>
      <c r="H324" s="27" t="s">
        <v>94</v>
      </c>
      <c r="I324" s="27" t="s">
        <v>49</v>
      </c>
      <c r="J324" s="27" t="s">
        <v>95</v>
      </c>
      <c r="K324" s="27" t="s">
        <v>73</v>
      </c>
      <c r="L324" s="31" t="s">
        <v>816</v>
      </c>
      <c r="M324" s="32">
        <v>0.57999999999999996</v>
      </c>
      <c r="N324" s="27" t="s">
        <v>33</v>
      </c>
      <c r="O324" s="27" t="s">
        <v>53</v>
      </c>
      <c r="P324" s="27" t="s">
        <v>103</v>
      </c>
      <c r="Q324" s="27" t="s">
        <v>817</v>
      </c>
      <c r="R324" s="33">
        <v>60543</v>
      </c>
      <c r="S324" s="34">
        <v>42031</v>
      </c>
      <c r="T324" s="34">
        <v>42032</v>
      </c>
      <c r="U324" s="29">
        <v>-18.190000000000001</v>
      </c>
      <c r="V324" s="26">
        <v>6</v>
      </c>
      <c r="W324" s="29">
        <v>73.180000000000007</v>
      </c>
      <c r="X324" s="26">
        <v>90353</v>
      </c>
      <c r="Y324" s="35">
        <v>1.72</v>
      </c>
      <c r="Z324" s="1" t="s">
        <v>3012</v>
      </c>
      <c r="AA324" s="36">
        <v>2.1546000000000003</v>
      </c>
      <c r="AB324" s="54">
        <v>30.735600000000005</v>
      </c>
      <c r="AC324" s="54">
        <v>7.0740666666666661</v>
      </c>
      <c r="AD324" s="36">
        <v>84.235400000000013</v>
      </c>
    </row>
    <row r="325" spans="1:30" s="37" customFormat="1" ht="15.75" customHeight="1" x14ac:dyDescent="0.2">
      <c r="A325" s="26">
        <v>2254</v>
      </c>
      <c r="B325" s="27" t="s">
        <v>825</v>
      </c>
      <c r="C325" s="27" t="s">
        <v>48</v>
      </c>
      <c r="D325" s="28">
        <v>0.1</v>
      </c>
      <c r="E325" s="29">
        <v>6.3</v>
      </c>
      <c r="F325" s="29">
        <v>0.5</v>
      </c>
      <c r="G325" s="30" t="s">
        <v>39</v>
      </c>
      <c r="H325" s="27" t="s">
        <v>94</v>
      </c>
      <c r="I325" s="27" t="s">
        <v>49</v>
      </c>
      <c r="J325" s="27" t="s">
        <v>152</v>
      </c>
      <c r="K325" s="27" t="s">
        <v>73</v>
      </c>
      <c r="L325" s="31" t="s">
        <v>826</v>
      </c>
      <c r="M325" s="32">
        <v>0.39</v>
      </c>
      <c r="N325" s="27" t="s">
        <v>33</v>
      </c>
      <c r="O325" s="27" t="s">
        <v>34</v>
      </c>
      <c r="P325" s="27" t="s">
        <v>388</v>
      </c>
      <c r="Q325" s="27" t="s">
        <v>827</v>
      </c>
      <c r="R325" s="33">
        <v>42003</v>
      </c>
      <c r="S325" s="34">
        <v>42031</v>
      </c>
      <c r="T325" s="34">
        <v>42036</v>
      </c>
      <c r="U325" s="29">
        <v>-464.28199999999998</v>
      </c>
      <c r="V325" s="26">
        <v>12</v>
      </c>
      <c r="W325" s="29">
        <v>68.72</v>
      </c>
      <c r="X325" s="26">
        <v>89278</v>
      </c>
      <c r="Y325" s="35">
        <v>12.51</v>
      </c>
      <c r="Z325" s="1" t="s">
        <v>3011</v>
      </c>
      <c r="AA325" s="36">
        <v>7.5600000000000005</v>
      </c>
      <c r="AB325" s="54">
        <v>41.919199999999996</v>
      </c>
      <c r="AC325" s="54">
        <v>2.2334000000000001</v>
      </c>
      <c r="AD325" s="36">
        <v>524.94200000000001</v>
      </c>
    </row>
    <row r="326" spans="1:30" s="37" customFormat="1" ht="15.75" customHeight="1" x14ac:dyDescent="0.2">
      <c r="A326" s="26">
        <v>899</v>
      </c>
      <c r="B326" s="27" t="s">
        <v>426</v>
      </c>
      <c r="C326" s="27" t="s">
        <v>3094</v>
      </c>
      <c r="D326" s="28">
        <v>7.0000000000000007E-2</v>
      </c>
      <c r="E326" s="29">
        <v>5.18</v>
      </c>
      <c r="F326" s="29">
        <v>2.04</v>
      </c>
      <c r="G326" s="30" t="s">
        <v>87</v>
      </c>
      <c r="H326" s="27" t="s">
        <v>3095</v>
      </c>
      <c r="I326" s="27" t="s">
        <v>49</v>
      </c>
      <c r="J326" s="27" t="s">
        <v>88</v>
      </c>
      <c r="K326" s="27" t="s">
        <v>51</v>
      </c>
      <c r="L326" s="31" t="s">
        <v>833</v>
      </c>
      <c r="M326" s="32">
        <v>0.36</v>
      </c>
      <c r="N326" s="27" t="s">
        <v>33</v>
      </c>
      <c r="O326" s="27" t="s">
        <v>111</v>
      </c>
      <c r="P326" s="27" t="s">
        <v>320</v>
      </c>
      <c r="Q326" s="27" t="s">
        <v>427</v>
      </c>
      <c r="R326" s="33">
        <v>16602</v>
      </c>
      <c r="S326" s="34">
        <v>42031</v>
      </c>
      <c r="T326" s="34">
        <v>42033</v>
      </c>
      <c r="U326" s="29">
        <v>37.31</v>
      </c>
      <c r="V326" s="26">
        <v>11</v>
      </c>
      <c r="W326" s="29">
        <v>57.13</v>
      </c>
      <c r="X326" s="26">
        <v>86264</v>
      </c>
      <c r="Y326" s="35">
        <v>5.1099999999999994</v>
      </c>
      <c r="Z326" s="1" t="s">
        <v>3014</v>
      </c>
      <c r="AA326" s="36">
        <v>3.9886000000000004</v>
      </c>
      <c r="AB326" s="54">
        <v>36.563200000000002</v>
      </c>
      <c r="AC326" s="54">
        <v>1.869709090909091</v>
      </c>
      <c r="AD326" s="36">
        <v>13.791400000000003</v>
      </c>
    </row>
    <row r="327" spans="1:30" s="37" customFormat="1" ht="15.75" customHeight="1" x14ac:dyDescent="0.2">
      <c r="A327" s="26">
        <v>2178</v>
      </c>
      <c r="B327" s="27" t="s">
        <v>828</v>
      </c>
      <c r="C327" s="27" t="s">
        <v>116</v>
      </c>
      <c r="D327" s="28">
        <v>0.08</v>
      </c>
      <c r="E327" s="29">
        <v>2.94</v>
      </c>
      <c r="F327" s="29">
        <v>0.96</v>
      </c>
      <c r="G327" s="30" t="s">
        <v>39</v>
      </c>
      <c r="H327" s="27" t="s">
        <v>3095</v>
      </c>
      <c r="I327" s="27" t="s">
        <v>49</v>
      </c>
      <c r="J327" s="27" t="s">
        <v>50</v>
      </c>
      <c r="K327" s="27" t="s">
        <v>51</v>
      </c>
      <c r="L327" s="31" t="s">
        <v>829</v>
      </c>
      <c r="M327" s="32">
        <v>0.57999999999999996</v>
      </c>
      <c r="N327" s="27" t="s">
        <v>33</v>
      </c>
      <c r="O327" s="27" t="s">
        <v>111</v>
      </c>
      <c r="P327" s="27" t="s">
        <v>403</v>
      </c>
      <c r="Q327" s="27" t="s">
        <v>830</v>
      </c>
      <c r="R327" s="33">
        <v>1610</v>
      </c>
      <c r="S327" s="34">
        <v>42031</v>
      </c>
      <c r="T327" s="34">
        <v>42033</v>
      </c>
      <c r="U327" s="29">
        <v>-1.18</v>
      </c>
      <c r="V327" s="26">
        <v>9</v>
      </c>
      <c r="W327" s="29">
        <v>25.35</v>
      </c>
      <c r="X327" s="26">
        <v>89465</v>
      </c>
      <c r="Y327" s="35">
        <v>12.51</v>
      </c>
      <c r="Z327" s="1" t="s">
        <v>3014</v>
      </c>
      <c r="AA327" s="36">
        <v>2.1168</v>
      </c>
      <c r="AB327" s="54">
        <v>10.647000000000002</v>
      </c>
      <c r="AC327" s="54">
        <v>1.6336666666666666</v>
      </c>
      <c r="AD327" s="36">
        <v>23.453200000000002</v>
      </c>
    </row>
    <row r="328" spans="1:30" s="37" customFormat="1" ht="15.75" customHeight="1" x14ac:dyDescent="0.2">
      <c r="A328" s="26">
        <v>2979</v>
      </c>
      <c r="B328" s="27" t="s">
        <v>818</v>
      </c>
      <c r="C328" s="27" t="s">
        <v>26</v>
      </c>
      <c r="D328" s="28">
        <v>0.09</v>
      </c>
      <c r="E328" s="29">
        <v>2.94</v>
      </c>
      <c r="F328" s="29">
        <v>0.7</v>
      </c>
      <c r="G328" s="30" t="s">
        <v>39</v>
      </c>
      <c r="H328" s="27" t="s">
        <v>94</v>
      </c>
      <c r="I328" s="27" t="s">
        <v>49</v>
      </c>
      <c r="J328" s="27" t="s">
        <v>50</v>
      </c>
      <c r="K328" s="27" t="s">
        <v>51</v>
      </c>
      <c r="L328" s="31" t="s">
        <v>819</v>
      </c>
      <c r="M328" s="32">
        <v>0.57999999999999996</v>
      </c>
      <c r="N328" s="27" t="s">
        <v>33</v>
      </c>
      <c r="O328" s="27" t="s">
        <v>53</v>
      </c>
      <c r="P328" s="27" t="s">
        <v>565</v>
      </c>
      <c r="Q328" s="27" t="s">
        <v>820</v>
      </c>
      <c r="R328" s="33">
        <v>58601</v>
      </c>
      <c r="S328" s="34">
        <v>42031</v>
      </c>
      <c r="T328" s="34">
        <v>42032</v>
      </c>
      <c r="U328" s="29">
        <v>6.3840000000000003</v>
      </c>
      <c r="V328" s="26">
        <v>9</v>
      </c>
      <c r="W328" s="29">
        <v>25.22</v>
      </c>
      <c r="X328" s="26">
        <v>86544</v>
      </c>
      <c r="Y328" s="35">
        <v>5.1099999999999994</v>
      </c>
      <c r="Z328" s="1" t="s">
        <v>3012</v>
      </c>
      <c r="AA328" s="36">
        <v>2.3814000000000002</v>
      </c>
      <c r="AB328" s="54">
        <v>10.592400000000001</v>
      </c>
      <c r="AC328" s="54">
        <v>1.6252888888888886</v>
      </c>
      <c r="AD328" s="36">
        <v>15.754599999999998</v>
      </c>
    </row>
    <row r="329" spans="1:30" s="37" customFormat="1" ht="15.75" customHeight="1" x14ac:dyDescent="0.2">
      <c r="A329" s="26">
        <v>2980</v>
      </c>
      <c r="B329" s="27" t="s">
        <v>821</v>
      </c>
      <c r="C329" s="27" t="s">
        <v>26</v>
      </c>
      <c r="D329" s="28">
        <v>0.06</v>
      </c>
      <c r="E329" s="29">
        <v>1.1399999999999999</v>
      </c>
      <c r="F329" s="29">
        <v>0.7</v>
      </c>
      <c r="G329" s="30" t="s">
        <v>39</v>
      </c>
      <c r="H329" s="27" t="s">
        <v>94</v>
      </c>
      <c r="I329" s="27" t="s">
        <v>49</v>
      </c>
      <c r="J329" s="27" t="s">
        <v>176</v>
      </c>
      <c r="K329" s="27" t="s">
        <v>51</v>
      </c>
      <c r="L329" s="31" t="s">
        <v>824</v>
      </c>
      <c r="M329" s="32">
        <v>0.38</v>
      </c>
      <c r="N329" s="27" t="s">
        <v>33</v>
      </c>
      <c r="O329" s="27" t="s">
        <v>111</v>
      </c>
      <c r="P329" s="27" t="s">
        <v>317</v>
      </c>
      <c r="Q329" s="27" t="s">
        <v>823</v>
      </c>
      <c r="R329" s="33">
        <v>44870</v>
      </c>
      <c r="S329" s="34">
        <v>42031</v>
      </c>
      <c r="T329" s="34">
        <v>42034</v>
      </c>
      <c r="U329" s="29">
        <v>-3.782</v>
      </c>
      <c r="V329" s="26">
        <v>13</v>
      </c>
      <c r="W329" s="29">
        <v>14.53</v>
      </c>
      <c r="X329" s="26">
        <v>86544</v>
      </c>
      <c r="Y329" s="35">
        <v>110.89</v>
      </c>
      <c r="Z329" s="1" t="s">
        <v>3014</v>
      </c>
      <c r="AA329" s="36">
        <v>0.88919999999999988</v>
      </c>
      <c r="AB329" s="54">
        <v>9.0085999999999995</v>
      </c>
      <c r="AC329" s="54">
        <v>0.42472307692307687</v>
      </c>
      <c r="AD329" s="36">
        <v>16.722799999999999</v>
      </c>
    </row>
    <row r="330" spans="1:30" s="37" customFormat="1" ht="15.75" customHeight="1" x14ac:dyDescent="0.2">
      <c r="A330" s="26">
        <v>129</v>
      </c>
      <c r="B330" s="27" t="s">
        <v>831</v>
      </c>
      <c r="C330" s="27" t="s">
        <v>3094</v>
      </c>
      <c r="D330" s="28">
        <v>0.02</v>
      </c>
      <c r="E330" s="29">
        <v>1.74</v>
      </c>
      <c r="F330" s="29">
        <v>4.08</v>
      </c>
      <c r="G330" s="30" t="s">
        <v>39</v>
      </c>
      <c r="H330" s="27" t="s">
        <v>3095</v>
      </c>
      <c r="I330" s="27" t="s">
        <v>29</v>
      </c>
      <c r="J330" s="27" t="s">
        <v>126</v>
      </c>
      <c r="K330" s="27" t="s">
        <v>43</v>
      </c>
      <c r="L330" s="31" t="s">
        <v>770</v>
      </c>
      <c r="M330" s="32">
        <v>0.53</v>
      </c>
      <c r="N330" s="27" t="s">
        <v>33</v>
      </c>
      <c r="O330" s="27" t="s">
        <v>53</v>
      </c>
      <c r="P330" s="27" t="s">
        <v>103</v>
      </c>
      <c r="Q330" s="27" t="s">
        <v>832</v>
      </c>
      <c r="R330" s="33">
        <v>62002</v>
      </c>
      <c r="S330" s="34">
        <v>42031</v>
      </c>
      <c r="T330" s="34">
        <v>42032</v>
      </c>
      <c r="U330" s="29">
        <v>-37.39</v>
      </c>
      <c r="V330" s="26">
        <v>5</v>
      </c>
      <c r="W330" s="29">
        <v>10.23</v>
      </c>
      <c r="X330" s="26">
        <v>86693</v>
      </c>
      <c r="Y330" s="35">
        <v>205.91</v>
      </c>
      <c r="Z330" s="1" t="s">
        <v>3012</v>
      </c>
      <c r="AA330" s="36">
        <v>0.17399999999999999</v>
      </c>
      <c r="AB330" s="54">
        <v>4.8080999999999996</v>
      </c>
      <c r="AC330" s="54">
        <v>1.0843800000000001</v>
      </c>
      <c r="AD330" s="36">
        <v>43.366</v>
      </c>
    </row>
    <row r="331" spans="1:30" s="37" customFormat="1" ht="15.75" customHeight="1" x14ac:dyDescent="0.2">
      <c r="A331" s="26">
        <v>53</v>
      </c>
      <c r="B331" s="27" t="s">
        <v>840</v>
      </c>
      <c r="C331" s="27" t="s">
        <v>26</v>
      </c>
      <c r="D331" s="28">
        <v>7.0000000000000007E-2</v>
      </c>
      <c r="E331" s="29">
        <v>3502.14</v>
      </c>
      <c r="F331" s="29">
        <v>8.73</v>
      </c>
      <c r="G331" s="30" t="s">
        <v>27</v>
      </c>
      <c r="H331" s="27" t="s">
        <v>94</v>
      </c>
      <c r="I331" s="27" t="s">
        <v>41</v>
      </c>
      <c r="J331" s="27" t="s">
        <v>57</v>
      </c>
      <c r="K331" s="27" t="s">
        <v>31</v>
      </c>
      <c r="L331" s="31" t="s">
        <v>841</v>
      </c>
      <c r="M331" s="32">
        <v>0.56999999999999995</v>
      </c>
      <c r="N331" s="27" t="s">
        <v>33</v>
      </c>
      <c r="O331" s="27" t="s">
        <v>60</v>
      </c>
      <c r="P331" s="27" t="s">
        <v>67</v>
      </c>
      <c r="Q331" s="27" t="s">
        <v>842</v>
      </c>
      <c r="R331" s="33">
        <v>98052</v>
      </c>
      <c r="S331" s="34">
        <v>42032</v>
      </c>
      <c r="T331" s="34">
        <v>42034</v>
      </c>
      <c r="U331" s="29">
        <v>-6923.5991999999997</v>
      </c>
      <c r="V331" s="26">
        <v>1</v>
      </c>
      <c r="W331" s="29">
        <v>3267.55</v>
      </c>
      <c r="X331" s="26">
        <v>88425</v>
      </c>
      <c r="Y331" s="35">
        <v>3502.0699999999997</v>
      </c>
      <c r="Z331" s="1" t="s">
        <v>3013</v>
      </c>
      <c r="AA331" s="36">
        <v>245.14980000000003</v>
      </c>
      <c r="AB331" s="54">
        <v>1405.0465000000002</v>
      </c>
      <c r="AC331" s="54">
        <v>1862.5035</v>
      </c>
      <c r="AD331" s="36">
        <v>9937.269400000001</v>
      </c>
    </row>
    <row r="332" spans="1:30" s="37" customFormat="1" ht="15.75" customHeight="1" x14ac:dyDescent="0.2">
      <c r="A332" s="26">
        <v>3266</v>
      </c>
      <c r="B332" s="27" t="s">
        <v>843</v>
      </c>
      <c r="C332" s="27" t="s">
        <v>26</v>
      </c>
      <c r="D332" s="28">
        <v>0</v>
      </c>
      <c r="E332" s="29">
        <v>122.99</v>
      </c>
      <c r="F332" s="29">
        <v>70.2</v>
      </c>
      <c r="G332" s="30" t="s">
        <v>27</v>
      </c>
      <c r="H332" s="27" t="s">
        <v>94</v>
      </c>
      <c r="I332" s="27" t="s">
        <v>29</v>
      </c>
      <c r="J332" s="27" t="s">
        <v>109</v>
      </c>
      <c r="K332" s="27" t="s">
        <v>58</v>
      </c>
      <c r="L332" s="31" t="s">
        <v>804</v>
      </c>
      <c r="M332" s="32">
        <v>0.74</v>
      </c>
      <c r="N332" s="27" t="s">
        <v>33</v>
      </c>
      <c r="O332" s="27" t="s">
        <v>111</v>
      </c>
      <c r="P332" s="27" t="s">
        <v>331</v>
      </c>
      <c r="Q332" s="27" t="s">
        <v>332</v>
      </c>
      <c r="R332" s="33">
        <v>4073</v>
      </c>
      <c r="S332" s="34">
        <v>42032</v>
      </c>
      <c r="T332" s="34">
        <v>42033</v>
      </c>
      <c r="U332" s="29">
        <v>-1764.29</v>
      </c>
      <c r="V332" s="26">
        <v>14</v>
      </c>
      <c r="W332" s="29">
        <v>1794.88</v>
      </c>
      <c r="X332" s="26">
        <v>89836</v>
      </c>
      <c r="Y332" s="35">
        <v>122.99</v>
      </c>
      <c r="Z332" s="1" t="s">
        <v>3014</v>
      </c>
      <c r="AA332" s="36">
        <v>0</v>
      </c>
      <c r="AB332" s="54">
        <v>466.66880000000003</v>
      </c>
      <c r="AC332" s="54">
        <v>94.872228571428579</v>
      </c>
      <c r="AD332" s="36">
        <v>3488.9700000000003</v>
      </c>
    </row>
    <row r="333" spans="1:30" s="37" customFormat="1" ht="15.75" customHeight="1" x14ac:dyDescent="0.2">
      <c r="A333" s="26">
        <v>3269</v>
      </c>
      <c r="B333" s="27" t="s">
        <v>844</v>
      </c>
      <c r="C333" s="27" t="s">
        <v>26</v>
      </c>
      <c r="D333" s="28">
        <v>0.01</v>
      </c>
      <c r="E333" s="29">
        <v>60.97</v>
      </c>
      <c r="F333" s="29">
        <v>4.5</v>
      </c>
      <c r="G333" s="30" t="s">
        <v>87</v>
      </c>
      <c r="H333" s="27" t="s">
        <v>94</v>
      </c>
      <c r="I333" s="27" t="s">
        <v>49</v>
      </c>
      <c r="J333" s="27" t="s">
        <v>95</v>
      </c>
      <c r="K333" s="27" t="s">
        <v>73</v>
      </c>
      <c r="L333" s="31" t="s">
        <v>96</v>
      </c>
      <c r="M333" s="32">
        <v>0.56000000000000005</v>
      </c>
      <c r="N333" s="27" t="s">
        <v>33</v>
      </c>
      <c r="O333" s="27" t="s">
        <v>111</v>
      </c>
      <c r="P333" s="27" t="s">
        <v>397</v>
      </c>
      <c r="Q333" s="27" t="s">
        <v>845</v>
      </c>
      <c r="R333" s="33">
        <v>7060</v>
      </c>
      <c r="S333" s="34">
        <v>42032</v>
      </c>
      <c r="T333" s="34">
        <v>42034</v>
      </c>
      <c r="U333" s="29">
        <v>527.87760000000003</v>
      </c>
      <c r="V333" s="26">
        <v>12</v>
      </c>
      <c r="W333" s="29">
        <v>765.04</v>
      </c>
      <c r="X333" s="26">
        <v>89836</v>
      </c>
      <c r="Y333" s="35">
        <v>60.96</v>
      </c>
      <c r="Z333" s="1" t="s">
        <v>3014</v>
      </c>
      <c r="AA333" s="36">
        <v>7.3163999999999998</v>
      </c>
      <c r="AB333" s="54">
        <v>336.61759999999992</v>
      </c>
      <c r="AC333" s="54">
        <v>35.701866666666668</v>
      </c>
      <c r="AD333" s="36">
        <v>225.34599999999989</v>
      </c>
    </row>
    <row r="334" spans="1:30" s="37" customFormat="1" ht="15.75" customHeight="1" x14ac:dyDescent="0.2">
      <c r="A334" s="26">
        <v>556</v>
      </c>
      <c r="B334" s="27" t="s">
        <v>853</v>
      </c>
      <c r="C334" s="27" t="s">
        <v>116</v>
      </c>
      <c r="D334" s="28">
        <v>0.03</v>
      </c>
      <c r="E334" s="29">
        <v>32.479999999999997</v>
      </c>
      <c r="F334" s="29">
        <v>35</v>
      </c>
      <c r="G334" s="30" t="s">
        <v>87</v>
      </c>
      <c r="H334" s="27" t="s">
        <v>71</v>
      </c>
      <c r="I334" s="27" t="s">
        <v>49</v>
      </c>
      <c r="J334" s="27" t="s">
        <v>78</v>
      </c>
      <c r="K334" s="27" t="s">
        <v>65</v>
      </c>
      <c r="L334" s="31" t="s">
        <v>785</v>
      </c>
      <c r="M334" s="32">
        <v>0.81</v>
      </c>
      <c r="N334" s="27" t="s">
        <v>33</v>
      </c>
      <c r="O334" s="27" t="s">
        <v>60</v>
      </c>
      <c r="P334" s="27" t="s">
        <v>146</v>
      </c>
      <c r="Q334" s="27" t="s">
        <v>854</v>
      </c>
      <c r="R334" s="33">
        <v>84604</v>
      </c>
      <c r="S334" s="34">
        <v>42032</v>
      </c>
      <c r="T334" s="34">
        <v>42032</v>
      </c>
      <c r="U334" s="29">
        <v>-1116.3348000000001</v>
      </c>
      <c r="V334" s="26">
        <v>8</v>
      </c>
      <c r="W334" s="29">
        <v>274.91000000000003</v>
      </c>
      <c r="X334" s="26">
        <v>86189</v>
      </c>
      <c r="Y334" s="35">
        <v>55.419999999999995</v>
      </c>
      <c r="Z334" s="1" t="s">
        <v>3013</v>
      </c>
      <c r="AA334" s="36">
        <v>7.7951999999999986</v>
      </c>
      <c r="AB334" s="54">
        <v>52.232899999999987</v>
      </c>
      <c r="AC334" s="54">
        <v>27.834637500000003</v>
      </c>
      <c r="AD334" s="36">
        <v>1348.4496000000001</v>
      </c>
    </row>
    <row r="335" spans="1:30" s="37" customFormat="1" ht="15.75" customHeight="1" x14ac:dyDescent="0.2">
      <c r="A335" s="26">
        <v>553</v>
      </c>
      <c r="B335" s="27" t="s">
        <v>851</v>
      </c>
      <c r="C335" s="27" t="s">
        <v>116</v>
      </c>
      <c r="D335" s="28">
        <v>0</v>
      </c>
      <c r="E335" s="29">
        <v>6.88</v>
      </c>
      <c r="F335" s="29">
        <v>2</v>
      </c>
      <c r="G335" s="30" t="s">
        <v>87</v>
      </c>
      <c r="H335" s="27" t="s">
        <v>71</v>
      </c>
      <c r="I335" s="27" t="s">
        <v>49</v>
      </c>
      <c r="J335" s="27" t="s">
        <v>88</v>
      </c>
      <c r="K335" s="27" t="s">
        <v>51</v>
      </c>
      <c r="L335" s="31" t="s">
        <v>852</v>
      </c>
      <c r="M335" s="32">
        <v>0.39</v>
      </c>
      <c r="N335" s="27" t="s">
        <v>33</v>
      </c>
      <c r="O335" s="27" t="s">
        <v>60</v>
      </c>
      <c r="P335" s="27" t="s">
        <v>90</v>
      </c>
      <c r="Q335" s="27" t="s">
        <v>100</v>
      </c>
      <c r="R335" s="33">
        <v>90008</v>
      </c>
      <c r="S335" s="34">
        <v>42032</v>
      </c>
      <c r="T335" s="34">
        <v>42033</v>
      </c>
      <c r="U335" s="29">
        <v>34.067999999999998</v>
      </c>
      <c r="V335" s="26">
        <v>36</v>
      </c>
      <c r="W335" s="29">
        <v>267.52999999999997</v>
      </c>
      <c r="X335" s="26">
        <v>17155</v>
      </c>
      <c r="Y335" s="35">
        <v>1.66</v>
      </c>
      <c r="Z335" s="1" t="s">
        <v>3013</v>
      </c>
      <c r="AA335" s="36">
        <v>0</v>
      </c>
      <c r="AB335" s="54">
        <v>163.19329999999999</v>
      </c>
      <c r="AC335" s="54">
        <v>2.8982416666666664</v>
      </c>
      <c r="AD335" s="36">
        <v>231.46199999999999</v>
      </c>
    </row>
    <row r="336" spans="1:30" s="37" customFormat="1" ht="15.75" customHeight="1" x14ac:dyDescent="0.2">
      <c r="A336" s="26">
        <v>24</v>
      </c>
      <c r="B336" s="27" t="s">
        <v>846</v>
      </c>
      <c r="C336" s="27" t="s">
        <v>38</v>
      </c>
      <c r="D336" s="28">
        <v>0.06</v>
      </c>
      <c r="E336" s="29">
        <v>55.48</v>
      </c>
      <c r="F336" s="29">
        <v>14.3</v>
      </c>
      <c r="G336" s="30" t="s">
        <v>39</v>
      </c>
      <c r="H336" s="27" t="s">
        <v>94</v>
      </c>
      <c r="I336" s="27" t="s">
        <v>49</v>
      </c>
      <c r="J336" s="27" t="s">
        <v>88</v>
      </c>
      <c r="K336" s="27" t="s">
        <v>73</v>
      </c>
      <c r="L336" s="31" t="s">
        <v>847</v>
      </c>
      <c r="M336" s="32">
        <v>0.37</v>
      </c>
      <c r="N336" s="27" t="s">
        <v>33</v>
      </c>
      <c r="O336" s="27" t="s">
        <v>60</v>
      </c>
      <c r="P336" s="27" t="s">
        <v>90</v>
      </c>
      <c r="Q336" s="27" t="s">
        <v>848</v>
      </c>
      <c r="R336" s="33">
        <v>92677</v>
      </c>
      <c r="S336" s="34">
        <v>42032</v>
      </c>
      <c r="T336" s="34">
        <v>42033</v>
      </c>
      <c r="U336" s="29">
        <v>-28.296800000000001</v>
      </c>
      <c r="V336" s="26">
        <v>1</v>
      </c>
      <c r="W336" s="29">
        <v>67.489999999999995</v>
      </c>
      <c r="X336" s="26">
        <v>87651</v>
      </c>
      <c r="Y336" s="35">
        <v>59.959999999999994</v>
      </c>
      <c r="Z336" s="1" t="s">
        <v>3013</v>
      </c>
      <c r="AA336" s="36">
        <v>3.3287999999999998</v>
      </c>
      <c r="AB336" s="54">
        <v>42.518699999999995</v>
      </c>
      <c r="AC336" s="54">
        <v>24.971299999999999</v>
      </c>
      <c r="AD336" s="36">
        <v>78.158000000000001</v>
      </c>
    </row>
    <row r="337" spans="1:30" s="37" customFormat="1" ht="15.75" customHeight="1" x14ac:dyDescent="0.2">
      <c r="A337" s="26">
        <v>556</v>
      </c>
      <c r="B337" s="27" t="s">
        <v>853</v>
      </c>
      <c r="C337" s="27" t="s">
        <v>116</v>
      </c>
      <c r="D337" s="28">
        <v>0</v>
      </c>
      <c r="E337" s="29">
        <v>6.88</v>
      </c>
      <c r="F337" s="29">
        <v>2</v>
      </c>
      <c r="G337" s="30" t="s">
        <v>87</v>
      </c>
      <c r="H337" s="27" t="s">
        <v>71</v>
      </c>
      <c r="I337" s="27" t="s">
        <v>49</v>
      </c>
      <c r="J337" s="27" t="s">
        <v>88</v>
      </c>
      <c r="K337" s="27" t="s">
        <v>51</v>
      </c>
      <c r="L337" s="31" t="s">
        <v>852</v>
      </c>
      <c r="M337" s="32">
        <v>0.39</v>
      </c>
      <c r="N337" s="27" t="s">
        <v>33</v>
      </c>
      <c r="O337" s="27" t="s">
        <v>60</v>
      </c>
      <c r="P337" s="27" t="s">
        <v>146</v>
      </c>
      <c r="Q337" s="27" t="s">
        <v>854</v>
      </c>
      <c r="R337" s="33">
        <v>84604</v>
      </c>
      <c r="S337" s="34">
        <v>42032</v>
      </c>
      <c r="T337" s="34">
        <v>42033</v>
      </c>
      <c r="U337" s="29">
        <v>46.147199999999998</v>
      </c>
      <c r="V337" s="26">
        <v>9</v>
      </c>
      <c r="W337" s="29">
        <v>66.88</v>
      </c>
      <c r="X337" s="26">
        <v>86189</v>
      </c>
      <c r="Y337" s="35">
        <v>5.1499999999999995</v>
      </c>
      <c r="Z337" s="1" t="s">
        <v>3013</v>
      </c>
      <c r="AA337" s="36">
        <v>0</v>
      </c>
      <c r="AB337" s="54">
        <v>40.796799999999998</v>
      </c>
      <c r="AC337" s="54">
        <v>2.8981333333333335</v>
      </c>
      <c r="AD337" s="36">
        <v>18.732799999999997</v>
      </c>
    </row>
    <row r="338" spans="1:30" s="37" customFormat="1" ht="15.75" customHeight="1" x14ac:dyDescent="0.2">
      <c r="A338" s="26">
        <v>744</v>
      </c>
      <c r="B338" s="27" t="s">
        <v>586</v>
      </c>
      <c r="C338" s="27" t="s">
        <v>48</v>
      </c>
      <c r="D338" s="28">
        <v>0.02</v>
      </c>
      <c r="E338" s="29">
        <v>59.98</v>
      </c>
      <c r="F338" s="29">
        <v>3.99</v>
      </c>
      <c r="G338" s="30" t="s">
        <v>39</v>
      </c>
      <c r="H338" s="27" t="s">
        <v>94</v>
      </c>
      <c r="I338" s="27" t="s">
        <v>49</v>
      </c>
      <c r="J338" s="27" t="s">
        <v>95</v>
      </c>
      <c r="K338" s="27" t="s">
        <v>73</v>
      </c>
      <c r="L338" s="31" t="s">
        <v>849</v>
      </c>
      <c r="M338" s="32">
        <v>0.56999999999999995</v>
      </c>
      <c r="N338" s="27" t="s">
        <v>33</v>
      </c>
      <c r="O338" s="27" t="s">
        <v>60</v>
      </c>
      <c r="P338" s="27" t="s">
        <v>588</v>
      </c>
      <c r="Q338" s="27" t="s">
        <v>589</v>
      </c>
      <c r="R338" s="33">
        <v>85737</v>
      </c>
      <c r="S338" s="34">
        <v>42032</v>
      </c>
      <c r="T338" s="34">
        <v>42041</v>
      </c>
      <c r="U338" s="29">
        <v>-54.622</v>
      </c>
      <c r="V338" s="26">
        <v>1</v>
      </c>
      <c r="W338" s="29">
        <v>63.48</v>
      </c>
      <c r="X338" s="26">
        <v>87725</v>
      </c>
      <c r="Y338" s="35">
        <v>6.88</v>
      </c>
      <c r="Z338" s="1" t="s">
        <v>3013</v>
      </c>
      <c r="AA338" s="36">
        <v>1.1996</v>
      </c>
      <c r="AB338" s="54">
        <v>27.296400000000002</v>
      </c>
      <c r="AC338" s="54">
        <v>36.183599999999998</v>
      </c>
      <c r="AD338" s="36">
        <v>112.91239999999999</v>
      </c>
    </row>
    <row r="339" spans="1:30" s="37" customFormat="1" ht="15.75" customHeight="1" x14ac:dyDescent="0.2">
      <c r="A339" s="26">
        <v>744</v>
      </c>
      <c r="B339" s="27" t="s">
        <v>586</v>
      </c>
      <c r="C339" s="27" t="s">
        <v>48</v>
      </c>
      <c r="D339" s="28">
        <v>0.03</v>
      </c>
      <c r="E339" s="29">
        <v>5.18</v>
      </c>
      <c r="F339" s="29">
        <v>5.74</v>
      </c>
      <c r="G339" s="30" t="s">
        <v>39</v>
      </c>
      <c r="H339" s="27" t="s">
        <v>94</v>
      </c>
      <c r="I339" s="27" t="s">
        <v>49</v>
      </c>
      <c r="J339" s="27" t="s">
        <v>72</v>
      </c>
      <c r="K339" s="27" t="s">
        <v>73</v>
      </c>
      <c r="L339" s="31" t="s">
        <v>850</v>
      </c>
      <c r="M339" s="32">
        <v>0.36</v>
      </c>
      <c r="N339" s="27" t="s">
        <v>33</v>
      </c>
      <c r="O339" s="27" t="s">
        <v>60</v>
      </c>
      <c r="P339" s="27" t="s">
        <v>588</v>
      </c>
      <c r="Q339" s="27" t="s">
        <v>589</v>
      </c>
      <c r="R339" s="33">
        <v>85737</v>
      </c>
      <c r="S339" s="34">
        <v>42032</v>
      </c>
      <c r="T339" s="34">
        <v>42036</v>
      </c>
      <c r="U339" s="29">
        <v>-126.81417999999999</v>
      </c>
      <c r="V339" s="26">
        <v>9</v>
      </c>
      <c r="W339" s="29">
        <v>47.64</v>
      </c>
      <c r="X339" s="26">
        <v>87725</v>
      </c>
      <c r="Y339" s="35">
        <v>6.88</v>
      </c>
      <c r="Z339" s="1" t="s">
        <v>3013</v>
      </c>
      <c r="AA339" s="36">
        <v>1.3985999999999998</v>
      </c>
      <c r="AB339" s="54">
        <v>30.489599999999999</v>
      </c>
      <c r="AC339" s="54">
        <v>1.9055999999999997</v>
      </c>
      <c r="AD339" s="36">
        <v>167.31558000000001</v>
      </c>
    </row>
    <row r="340" spans="1:30" s="37" customFormat="1" ht="15.75" customHeight="1" x14ac:dyDescent="0.2">
      <c r="A340" s="26">
        <v>24</v>
      </c>
      <c r="B340" s="27" t="s">
        <v>846</v>
      </c>
      <c r="C340" s="27" t="s">
        <v>38</v>
      </c>
      <c r="D340" s="28">
        <v>0.02</v>
      </c>
      <c r="E340" s="29">
        <v>1.68</v>
      </c>
      <c r="F340" s="29">
        <v>1.57</v>
      </c>
      <c r="G340" s="30" t="s">
        <v>39</v>
      </c>
      <c r="H340" s="27" t="s">
        <v>94</v>
      </c>
      <c r="I340" s="27" t="s">
        <v>49</v>
      </c>
      <c r="J340" s="27" t="s">
        <v>50</v>
      </c>
      <c r="K340" s="27" t="s">
        <v>51</v>
      </c>
      <c r="L340" s="31" t="s">
        <v>574</v>
      </c>
      <c r="M340" s="32">
        <v>0.59</v>
      </c>
      <c r="N340" s="27" t="s">
        <v>33</v>
      </c>
      <c r="O340" s="27" t="s">
        <v>60</v>
      </c>
      <c r="P340" s="27" t="s">
        <v>90</v>
      </c>
      <c r="Q340" s="27" t="s">
        <v>848</v>
      </c>
      <c r="R340" s="33">
        <v>92677</v>
      </c>
      <c r="S340" s="34">
        <v>42032</v>
      </c>
      <c r="T340" s="34">
        <v>42034</v>
      </c>
      <c r="U340" s="29">
        <v>-5.3071999999999999</v>
      </c>
      <c r="V340" s="26">
        <v>1</v>
      </c>
      <c r="W340" s="29">
        <v>2.25</v>
      </c>
      <c r="X340" s="26">
        <v>87651</v>
      </c>
      <c r="Y340" s="35">
        <v>32.449999999999996</v>
      </c>
      <c r="Z340" s="1" t="s">
        <v>3013</v>
      </c>
      <c r="AA340" s="36">
        <v>3.3599999999999998E-2</v>
      </c>
      <c r="AB340" s="54">
        <v>0.9225000000000001</v>
      </c>
      <c r="AC340" s="54">
        <v>1.3274999999999999</v>
      </c>
      <c r="AD340" s="36">
        <v>5.9535999999999998</v>
      </c>
    </row>
    <row r="341" spans="1:30" s="37" customFormat="1" ht="15.75" customHeight="1" x14ac:dyDescent="0.2">
      <c r="A341" s="26">
        <v>699</v>
      </c>
      <c r="B341" s="27" t="s">
        <v>861</v>
      </c>
      <c r="C341" s="27" t="s">
        <v>116</v>
      </c>
      <c r="D341" s="28">
        <v>7.0000000000000007E-2</v>
      </c>
      <c r="E341" s="29">
        <v>280.98</v>
      </c>
      <c r="F341" s="29">
        <v>57</v>
      </c>
      <c r="G341" s="30" t="s">
        <v>27</v>
      </c>
      <c r="H341" s="27" t="s">
        <v>40</v>
      </c>
      <c r="I341" s="27" t="s">
        <v>29</v>
      </c>
      <c r="J341" s="27" t="s">
        <v>109</v>
      </c>
      <c r="K341" s="27" t="s">
        <v>58</v>
      </c>
      <c r="L341" s="31" t="s">
        <v>862</v>
      </c>
      <c r="M341" s="32">
        <v>0.78</v>
      </c>
      <c r="N341" s="27" t="s">
        <v>33</v>
      </c>
      <c r="O341" s="27" t="s">
        <v>60</v>
      </c>
      <c r="P341" s="27" t="s">
        <v>90</v>
      </c>
      <c r="Q341" s="27" t="s">
        <v>100</v>
      </c>
      <c r="R341" s="33">
        <v>90041</v>
      </c>
      <c r="S341" s="34">
        <v>42033</v>
      </c>
      <c r="T341" s="34">
        <v>42035</v>
      </c>
      <c r="U341" s="29">
        <v>-439.62</v>
      </c>
      <c r="V341" s="26">
        <v>23</v>
      </c>
      <c r="W341" s="29">
        <v>6499.87</v>
      </c>
      <c r="X341" s="26">
        <v>32420</v>
      </c>
      <c r="Y341" s="35">
        <v>95.899999999999991</v>
      </c>
      <c r="Z341" s="1" t="s">
        <v>3013</v>
      </c>
      <c r="AA341" s="36">
        <v>452.37780000000004</v>
      </c>
      <c r="AB341" s="54">
        <v>1429.9713999999999</v>
      </c>
      <c r="AC341" s="54">
        <v>220.4303739130435</v>
      </c>
      <c r="AD341" s="36">
        <v>6430.1121999999996</v>
      </c>
    </row>
    <row r="342" spans="1:30" s="37" customFormat="1" ht="15.75" customHeight="1" x14ac:dyDescent="0.2">
      <c r="A342" s="26">
        <v>2062</v>
      </c>
      <c r="B342" s="27" t="s">
        <v>866</v>
      </c>
      <c r="C342" s="27" t="s">
        <v>116</v>
      </c>
      <c r="D342" s="28">
        <v>0.02</v>
      </c>
      <c r="E342" s="29">
        <v>420.98</v>
      </c>
      <c r="F342" s="29">
        <v>19.989999999999998</v>
      </c>
      <c r="G342" s="30" t="s">
        <v>39</v>
      </c>
      <c r="H342" s="27" t="s">
        <v>94</v>
      </c>
      <c r="I342" s="27" t="s">
        <v>49</v>
      </c>
      <c r="J342" s="27" t="s">
        <v>72</v>
      </c>
      <c r="K342" s="27" t="s">
        <v>73</v>
      </c>
      <c r="L342" s="31" t="s">
        <v>867</v>
      </c>
      <c r="M342" s="32">
        <v>0.35</v>
      </c>
      <c r="N342" s="27" t="s">
        <v>33</v>
      </c>
      <c r="O342" s="27" t="s">
        <v>34</v>
      </c>
      <c r="P342" s="27" t="s">
        <v>242</v>
      </c>
      <c r="Q342" s="27" t="s">
        <v>868</v>
      </c>
      <c r="R342" s="33">
        <v>23111</v>
      </c>
      <c r="S342" s="34">
        <v>42033</v>
      </c>
      <c r="T342" s="34">
        <v>42036</v>
      </c>
      <c r="U342" s="29">
        <v>-162.69399999999999</v>
      </c>
      <c r="V342" s="26">
        <v>10</v>
      </c>
      <c r="W342" s="29">
        <v>4249.37</v>
      </c>
      <c r="X342" s="26">
        <v>87146</v>
      </c>
      <c r="Y342" s="35">
        <v>7.3500000000000005</v>
      </c>
      <c r="Z342" s="1" t="s">
        <v>3011</v>
      </c>
      <c r="AA342" s="36">
        <v>84.196000000000012</v>
      </c>
      <c r="AB342" s="54">
        <v>2762.0905000000002</v>
      </c>
      <c r="AC342" s="54">
        <v>148.72794999999999</v>
      </c>
      <c r="AD342" s="36">
        <v>4307.8779999999997</v>
      </c>
    </row>
    <row r="343" spans="1:30" s="37" customFormat="1" ht="15.75" customHeight="1" x14ac:dyDescent="0.2">
      <c r="A343" s="26">
        <v>1875</v>
      </c>
      <c r="B343" s="27" t="s">
        <v>855</v>
      </c>
      <c r="C343" s="27" t="s">
        <v>26</v>
      </c>
      <c r="D343" s="28">
        <v>0.09</v>
      </c>
      <c r="E343" s="29">
        <v>95.99</v>
      </c>
      <c r="F343" s="29">
        <v>4.9000000000000004</v>
      </c>
      <c r="G343" s="30" t="s">
        <v>39</v>
      </c>
      <c r="H343" s="27" t="s">
        <v>40</v>
      </c>
      <c r="I343" s="27" t="s">
        <v>41</v>
      </c>
      <c r="J343" s="27" t="s">
        <v>135</v>
      </c>
      <c r="K343" s="27" t="s">
        <v>73</v>
      </c>
      <c r="L343" s="31" t="s">
        <v>768</v>
      </c>
      <c r="M343" s="32">
        <v>0.56000000000000005</v>
      </c>
      <c r="N343" s="27" t="s">
        <v>33</v>
      </c>
      <c r="O343" s="27" t="s">
        <v>34</v>
      </c>
      <c r="P343" s="27" t="s">
        <v>242</v>
      </c>
      <c r="Q343" s="27" t="s">
        <v>856</v>
      </c>
      <c r="R343" s="33">
        <v>23320</v>
      </c>
      <c r="S343" s="34">
        <v>42033</v>
      </c>
      <c r="T343" s="34">
        <v>42035</v>
      </c>
      <c r="U343" s="29">
        <v>34.302</v>
      </c>
      <c r="V343" s="26">
        <v>4</v>
      </c>
      <c r="W343" s="29">
        <v>320.75</v>
      </c>
      <c r="X343" s="26">
        <v>90899</v>
      </c>
      <c r="Y343" s="35">
        <v>6.4700000000000006</v>
      </c>
      <c r="Z343" s="1" t="s">
        <v>3011</v>
      </c>
      <c r="AA343" s="36">
        <v>34.556399999999996</v>
      </c>
      <c r="AB343" s="54">
        <v>141.13</v>
      </c>
      <c r="AC343" s="54">
        <v>44.905000000000001</v>
      </c>
      <c r="AD343" s="36">
        <v>246.99160000000001</v>
      </c>
    </row>
    <row r="344" spans="1:30" s="37" customFormat="1" ht="15.75" customHeight="1" x14ac:dyDescent="0.2">
      <c r="A344" s="26">
        <v>2061</v>
      </c>
      <c r="B344" s="27" t="s">
        <v>863</v>
      </c>
      <c r="C344" s="27" t="s">
        <v>116</v>
      </c>
      <c r="D344" s="28">
        <v>0.02</v>
      </c>
      <c r="E344" s="29">
        <v>240.98</v>
      </c>
      <c r="F344" s="29">
        <v>60.2</v>
      </c>
      <c r="G344" s="30" t="s">
        <v>27</v>
      </c>
      <c r="H344" s="27" t="s">
        <v>94</v>
      </c>
      <c r="I344" s="27" t="s">
        <v>29</v>
      </c>
      <c r="J344" s="27" t="s">
        <v>117</v>
      </c>
      <c r="K344" s="27" t="s">
        <v>31</v>
      </c>
      <c r="L344" s="31" t="s">
        <v>864</v>
      </c>
      <c r="M344" s="32">
        <v>0.56000000000000005</v>
      </c>
      <c r="N344" s="27" t="s">
        <v>33</v>
      </c>
      <c r="O344" s="27" t="s">
        <v>53</v>
      </c>
      <c r="P344" s="27" t="s">
        <v>133</v>
      </c>
      <c r="Q344" s="27" t="s">
        <v>865</v>
      </c>
      <c r="R344" s="33">
        <v>69101</v>
      </c>
      <c r="S344" s="34">
        <v>42033</v>
      </c>
      <c r="T344" s="34">
        <v>42035</v>
      </c>
      <c r="U344" s="29">
        <v>-272.71319999999997</v>
      </c>
      <c r="V344" s="26">
        <v>1</v>
      </c>
      <c r="W344" s="29">
        <v>260.66000000000003</v>
      </c>
      <c r="X344" s="26">
        <v>87146</v>
      </c>
      <c r="Y344" s="35">
        <v>4.9499999999999993</v>
      </c>
      <c r="Z344" s="1" t="s">
        <v>3012</v>
      </c>
      <c r="AA344" s="36">
        <v>4.8196000000000003</v>
      </c>
      <c r="AB344" s="54">
        <v>114.6904</v>
      </c>
      <c r="AC344" s="54">
        <v>145.96960000000001</v>
      </c>
      <c r="AD344" s="36">
        <v>468.35360000000003</v>
      </c>
    </row>
    <row r="345" spans="1:30" s="37" customFormat="1" ht="15.75" customHeight="1" x14ac:dyDescent="0.2">
      <c r="A345" s="26">
        <v>699</v>
      </c>
      <c r="B345" s="27" t="s">
        <v>861</v>
      </c>
      <c r="C345" s="27" t="s">
        <v>116</v>
      </c>
      <c r="D345" s="28">
        <v>7.0000000000000007E-2</v>
      </c>
      <c r="E345" s="29">
        <v>5.0199999999999996</v>
      </c>
      <c r="F345" s="29">
        <v>5.14</v>
      </c>
      <c r="G345" s="30" t="s">
        <v>39</v>
      </c>
      <c r="H345" s="27" t="s">
        <v>40</v>
      </c>
      <c r="I345" s="27" t="s">
        <v>41</v>
      </c>
      <c r="J345" s="27" t="s">
        <v>42</v>
      </c>
      <c r="K345" s="27" t="s">
        <v>43</v>
      </c>
      <c r="L345" s="31" t="s">
        <v>391</v>
      </c>
      <c r="M345" s="32">
        <v>0.79</v>
      </c>
      <c r="N345" s="27" t="s">
        <v>33</v>
      </c>
      <c r="O345" s="27" t="s">
        <v>60</v>
      </c>
      <c r="P345" s="27" t="s">
        <v>90</v>
      </c>
      <c r="Q345" s="27" t="s">
        <v>100</v>
      </c>
      <c r="R345" s="33">
        <v>90041</v>
      </c>
      <c r="S345" s="34">
        <v>42033</v>
      </c>
      <c r="T345" s="34">
        <v>42035</v>
      </c>
      <c r="U345" s="29">
        <v>-168.72</v>
      </c>
      <c r="V345" s="26">
        <v>42</v>
      </c>
      <c r="W345" s="29">
        <v>210.1</v>
      </c>
      <c r="X345" s="26">
        <v>32420</v>
      </c>
      <c r="Y345" s="35">
        <v>280.91000000000003</v>
      </c>
      <c r="Z345" s="1" t="s">
        <v>3013</v>
      </c>
      <c r="AA345" s="36">
        <v>14.758799999999999</v>
      </c>
      <c r="AB345" s="54">
        <v>44.120999999999988</v>
      </c>
      <c r="AC345" s="54">
        <v>3.9518809523809524</v>
      </c>
      <c r="AD345" s="36">
        <v>358.9212</v>
      </c>
    </row>
    <row r="346" spans="1:30" s="37" customFormat="1" ht="15.75" customHeight="1" x14ac:dyDescent="0.2">
      <c r="A346" s="26">
        <v>2265</v>
      </c>
      <c r="B346" s="27" t="s">
        <v>857</v>
      </c>
      <c r="C346" s="27" t="s">
        <v>26</v>
      </c>
      <c r="D346" s="28">
        <v>0.01</v>
      </c>
      <c r="E346" s="29">
        <v>6.48</v>
      </c>
      <c r="F346" s="29">
        <v>7.86</v>
      </c>
      <c r="G346" s="30" t="s">
        <v>39</v>
      </c>
      <c r="H346" s="27" t="s">
        <v>94</v>
      </c>
      <c r="I346" s="27" t="s">
        <v>49</v>
      </c>
      <c r="J346" s="27" t="s">
        <v>88</v>
      </c>
      <c r="K346" s="27" t="s">
        <v>73</v>
      </c>
      <c r="L346" s="31" t="s">
        <v>860</v>
      </c>
      <c r="M346" s="32">
        <v>0.37</v>
      </c>
      <c r="N346" s="27" t="s">
        <v>33</v>
      </c>
      <c r="O346" s="27" t="s">
        <v>53</v>
      </c>
      <c r="P346" s="27" t="s">
        <v>80</v>
      </c>
      <c r="Q346" s="27" t="s">
        <v>859</v>
      </c>
      <c r="R346" s="33">
        <v>64130</v>
      </c>
      <c r="S346" s="34">
        <v>42033</v>
      </c>
      <c r="T346" s="34">
        <v>42035</v>
      </c>
      <c r="U346" s="29">
        <v>-135.74</v>
      </c>
      <c r="V346" s="26">
        <v>10</v>
      </c>
      <c r="W346" s="29">
        <v>66.459999999999994</v>
      </c>
      <c r="X346" s="26">
        <v>86612</v>
      </c>
      <c r="Y346" s="35">
        <v>240.95999999999998</v>
      </c>
      <c r="Z346" s="1" t="s">
        <v>3012</v>
      </c>
      <c r="AA346" s="36">
        <v>0.64800000000000013</v>
      </c>
      <c r="AB346" s="54">
        <v>41.869799999999998</v>
      </c>
      <c r="AC346" s="54">
        <v>2.4590199999999998</v>
      </c>
      <c r="AD346" s="36">
        <v>193.69200000000001</v>
      </c>
    </row>
    <row r="347" spans="1:30" s="37" customFormat="1" ht="15.75" customHeight="1" x14ac:dyDescent="0.2">
      <c r="A347" s="26">
        <v>2265</v>
      </c>
      <c r="B347" s="27" t="s">
        <v>857</v>
      </c>
      <c r="C347" s="27" t="s">
        <v>26</v>
      </c>
      <c r="D347" s="28">
        <v>0.1</v>
      </c>
      <c r="E347" s="29">
        <v>7.45</v>
      </c>
      <c r="F347" s="29">
        <v>6.28</v>
      </c>
      <c r="G347" s="30" t="s">
        <v>39</v>
      </c>
      <c r="H347" s="27" t="s">
        <v>94</v>
      </c>
      <c r="I347" s="27" t="s">
        <v>49</v>
      </c>
      <c r="J347" s="27" t="s">
        <v>72</v>
      </c>
      <c r="K347" s="27" t="s">
        <v>73</v>
      </c>
      <c r="L347" s="31" t="s">
        <v>858</v>
      </c>
      <c r="M347" s="32">
        <v>0.4</v>
      </c>
      <c r="N347" s="27" t="s">
        <v>33</v>
      </c>
      <c r="O347" s="27" t="s">
        <v>53</v>
      </c>
      <c r="P347" s="27" t="s">
        <v>80</v>
      </c>
      <c r="Q347" s="27" t="s">
        <v>859</v>
      </c>
      <c r="R347" s="33">
        <v>64130</v>
      </c>
      <c r="S347" s="34">
        <v>42033</v>
      </c>
      <c r="T347" s="34">
        <v>42036</v>
      </c>
      <c r="U347" s="29">
        <v>-69.873999999999995</v>
      </c>
      <c r="V347" s="26">
        <v>8</v>
      </c>
      <c r="W347" s="29">
        <v>59.4</v>
      </c>
      <c r="X347" s="26">
        <v>86612</v>
      </c>
      <c r="Y347" s="35">
        <v>420.96000000000004</v>
      </c>
      <c r="Z347" s="1" t="s">
        <v>3012</v>
      </c>
      <c r="AA347" s="36">
        <v>5.9600000000000009</v>
      </c>
      <c r="AB347" s="54">
        <v>35.64</v>
      </c>
      <c r="AC347" s="54">
        <v>2.97</v>
      </c>
      <c r="AD347" s="36">
        <v>117.03399999999999</v>
      </c>
    </row>
    <row r="348" spans="1:30" s="214" customFormat="1" ht="15.75" customHeight="1" x14ac:dyDescent="0.2">
      <c r="A348" s="201">
        <v>2775</v>
      </c>
      <c r="B348" s="202" t="s">
        <v>880</v>
      </c>
      <c r="C348" s="202" t="s">
        <v>48</v>
      </c>
      <c r="D348" s="203">
        <v>7.0000000000000007E-2</v>
      </c>
      <c r="E348" s="204">
        <v>574.74</v>
      </c>
      <c r="F348" s="204">
        <v>24.49</v>
      </c>
      <c r="G348" s="205" t="s">
        <v>39</v>
      </c>
      <c r="H348" s="202" t="s">
        <v>40</v>
      </c>
      <c r="I348" s="202" t="s">
        <v>41</v>
      </c>
      <c r="J348" s="202" t="s">
        <v>57</v>
      </c>
      <c r="K348" s="202" t="s">
        <v>65</v>
      </c>
      <c r="L348" s="206" t="s">
        <v>170</v>
      </c>
      <c r="M348" s="207">
        <v>0.37</v>
      </c>
      <c r="N348" s="202" t="s">
        <v>33</v>
      </c>
      <c r="O348" s="202" t="s">
        <v>53</v>
      </c>
      <c r="P348" s="202" t="s">
        <v>103</v>
      </c>
      <c r="Q348" s="202" t="s">
        <v>881</v>
      </c>
      <c r="R348" s="208">
        <v>60131</v>
      </c>
      <c r="S348" s="209">
        <v>42034</v>
      </c>
      <c r="T348" s="209">
        <v>42039</v>
      </c>
      <c r="U348" s="204">
        <v>2860.9331999999999</v>
      </c>
      <c r="V348" s="201">
        <v>8</v>
      </c>
      <c r="W348" s="204">
        <v>4146.28</v>
      </c>
      <c r="X348" s="201">
        <v>91229</v>
      </c>
      <c r="Y348" s="210">
        <v>31.68</v>
      </c>
      <c r="Z348" s="211" t="s">
        <v>3012</v>
      </c>
      <c r="AA348" s="212">
        <v>321.85440000000006</v>
      </c>
      <c r="AB348" s="213">
        <v>2612.1563999999998</v>
      </c>
      <c r="AC348" s="213">
        <v>191.76544999999999</v>
      </c>
      <c r="AD348" s="212">
        <v>939.00239999999985</v>
      </c>
    </row>
    <row r="349" spans="1:30" s="214" customFormat="1" ht="15.75" customHeight="1" x14ac:dyDescent="0.2">
      <c r="A349" s="201">
        <v>1442</v>
      </c>
      <c r="B349" s="202" t="s">
        <v>877</v>
      </c>
      <c r="C349" s="202" t="s">
        <v>48</v>
      </c>
      <c r="D349" s="203">
        <v>0.09</v>
      </c>
      <c r="E349" s="204">
        <v>46.94</v>
      </c>
      <c r="F349" s="204">
        <v>6.77</v>
      </c>
      <c r="G349" s="205" t="s">
        <v>87</v>
      </c>
      <c r="H349" s="202" t="s">
        <v>94</v>
      </c>
      <c r="I349" s="202" t="s">
        <v>29</v>
      </c>
      <c r="J349" s="202" t="s">
        <v>126</v>
      </c>
      <c r="K349" s="202" t="s">
        <v>73</v>
      </c>
      <c r="L349" s="206" t="s">
        <v>879</v>
      </c>
      <c r="M349" s="207">
        <v>0.44</v>
      </c>
      <c r="N349" s="202" t="s">
        <v>33</v>
      </c>
      <c r="O349" s="202" t="s">
        <v>53</v>
      </c>
      <c r="P349" s="202" t="s">
        <v>80</v>
      </c>
      <c r="Q349" s="202" t="s">
        <v>878</v>
      </c>
      <c r="R349" s="208">
        <v>65807</v>
      </c>
      <c r="S349" s="209">
        <v>42034</v>
      </c>
      <c r="T349" s="209">
        <v>42034</v>
      </c>
      <c r="U349" s="204">
        <v>297.96960000000001</v>
      </c>
      <c r="V349" s="201">
        <v>10</v>
      </c>
      <c r="W349" s="204">
        <v>431.84</v>
      </c>
      <c r="X349" s="201">
        <v>89077</v>
      </c>
      <c r="Y349" s="210">
        <v>1.63</v>
      </c>
      <c r="Z349" s="211" t="s">
        <v>3012</v>
      </c>
      <c r="AA349" s="212">
        <v>42.245999999999995</v>
      </c>
      <c r="AB349" s="213">
        <v>241.8304</v>
      </c>
      <c r="AC349" s="213">
        <v>19.000959999999999</v>
      </c>
      <c r="AD349" s="212">
        <v>84.854399999999998</v>
      </c>
    </row>
    <row r="350" spans="1:30" s="214" customFormat="1" ht="15.75" customHeight="1" x14ac:dyDescent="0.2">
      <c r="A350" s="201">
        <v>767</v>
      </c>
      <c r="B350" s="202" t="s">
        <v>869</v>
      </c>
      <c r="C350" s="202" t="s">
        <v>26</v>
      </c>
      <c r="D350" s="203">
        <v>0.1</v>
      </c>
      <c r="E350" s="204">
        <v>31.78</v>
      </c>
      <c r="F350" s="204">
        <v>1.99</v>
      </c>
      <c r="G350" s="205" t="s">
        <v>39</v>
      </c>
      <c r="H350" s="202" t="s">
        <v>94</v>
      </c>
      <c r="I350" s="202" t="s">
        <v>41</v>
      </c>
      <c r="J350" s="202" t="s">
        <v>42</v>
      </c>
      <c r="K350" s="202" t="s">
        <v>43</v>
      </c>
      <c r="L350" s="206" t="s">
        <v>870</v>
      </c>
      <c r="M350" s="207">
        <v>0.42</v>
      </c>
      <c r="N350" s="202" t="s">
        <v>33</v>
      </c>
      <c r="O350" s="202" t="s">
        <v>53</v>
      </c>
      <c r="P350" s="202" t="s">
        <v>103</v>
      </c>
      <c r="Q350" s="202" t="s">
        <v>871</v>
      </c>
      <c r="R350" s="208">
        <v>61201</v>
      </c>
      <c r="S350" s="209">
        <v>42034</v>
      </c>
      <c r="T350" s="209">
        <v>42036</v>
      </c>
      <c r="U350" s="204">
        <v>232.2816</v>
      </c>
      <c r="V350" s="201">
        <v>11</v>
      </c>
      <c r="W350" s="204">
        <v>336.64</v>
      </c>
      <c r="X350" s="201">
        <v>86279</v>
      </c>
      <c r="Y350" s="210">
        <v>218.65</v>
      </c>
      <c r="Z350" s="211" t="s">
        <v>3012</v>
      </c>
      <c r="AA350" s="212">
        <v>34.958000000000006</v>
      </c>
      <c r="AB350" s="213">
        <v>195.25120000000001</v>
      </c>
      <c r="AC350" s="213">
        <v>12.853527272727272</v>
      </c>
      <c r="AD350" s="212">
        <v>67.410399999999981</v>
      </c>
    </row>
    <row r="351" spans="1:30" s="214" customFormat="1" ht="15.75" customHeight="1" x14ac:dyDescent="0.2">
      <c r="A351" s="201">
        <v>550</v>
      </c>
      <c r="B351" s="202" t="s">
        <v>872</v>
      </c>
      <c r="C351" s="202" t="s">
        <v>38</v>
      </c>
      <c r="D351" s="203">
        <v>0.1</v>
      </c>
      <c r="E351" s="204">
        <v>218.75</v>
      </c>
      <c r="F351" s="204">
        <v>69.64</v>
      </c>
      <c r="G351" s="205" t="s">
        <v>27</v>
      </c>
      <c r="H351" s="202" t="s">
        <v>94</v>
      </c>
      <c r="I351" s="202" t="s">
        <v>29</v>
      </c>
      <c r="J351" s="202" t="s">
        <v>30</v>
      </c>
      <c r="K351" s="202" t="s">
        <v>31</v>
      </c>
      <c r="L351" s="206" t="s">
        <v>874</v>
      </c>
      <c r="M351" s="207">
        <v>0.77</v>
      </c>
      <c r="N351" s="202" t="s">
        <v>33</v>
      </c>
      <c r="O351" s="202" t="s">
        <v>53</v>
      </c>
      <c r="P351" s="202" t="s">
        <v>187</v>
      </c>
      <c r="Q351" s="202" t="s">
        <v>873</v>
      </c>
      <c r="R351" s="208">
        <v>78155</v>
      </c>
      <c r="S351" s="209">
        <v>42034</v>
      </c>
      <c r="T351" s="209">
        <v>42036</v>
      </c>
      <c r="U351" s="204">
        <v>-201.27600000000001</v>
      </c>
      <c r="V351" s="201">
        <v>1</v>
      </c>
      <c r="W351" s="204">
        <v>188.51</v>
      </c>
      <c r="X351" s="201">
        <v>90909</v>
      </c>
      <c r="Y351" s="210">
        <v>15.04</v>
      </c>
      <c r="Z351" s="211" t="s">
        <v>3012</v>
      </c>
      <c r="AA351" s="212">
        <v>21.875</v>
      </c>
      <c r="AB351" s="213">
        <v>43.357299999999995</v>
      </c>
      <c r="AC351" s="213">
        <v>145.15270000000001</v>
      </c>
      <c r="AD351" s="212">
        <v>298.27100000000002</v>
      </c>
    </row>
    <row r="352" spans="1:30" s="214" customFormat="1" ht="15.75" customHeight="1" x14ac:dyDescent="0.2">
      <c r="A352" s="201">
        <v>1442</v>
      </c>
      <c r="B352" s="202" t="s">
        <v>877</v>
      </c>
      <c r="C352" s="202" t="s">
        <v>48</v>
      </c>
      <c r="D352" s="203">
        <v>0.02</v>
      </c>
      <c r="E352" s="204">
        <v>15.99</v>
      </c>
      <c r="F352" s="204">
        <v>13.18</v>
      </c>
      <c r="G352" s="205" t="s">
        <v>87</v>
      </c>
      <c r="H352" s="202" t="s">
        <v>94</v>
      </c>
      <c r="I352" s="202" t="s">
        <v>49</v>
      </c>
      <c r="J352" s="202" t="s">
        <v>72</v>
      </c>
      <c r="K352" s="202" t="s">
        <v>73</v>
      </c>
      <c r="L352" s="206" t="s">
        <v>295</v>
      </c>
      <c r="M352" s="207">
        <v>0.37</v>
      </c>
      <c r="N352" s="202" t="s">
        <v>33</v>
      </c>
      <c r="O352" s="202" t="s">
        <v>53</v>
      </c>
      <c r="P352" s="202" t="s">
        <v>80</v>
      </c>
      <c r="Q352" s="202" t="s">
        <v>878</v>
      </c>
      <c r="R352" s="208">
        <v>65807</v>
      </c>
      <c r="S352" s="209">
        <v>42034</v>
      </c>
      <c r="T352" s="209">
        <v>42038</v>
      </c>
      <c r="U352" s="204">
        <v>-76.992500000000007</v>
      </c>
      <c r="V352" s="201">
        <v>7</v>
      </c>
      <c r="W352" s="204">
        <v>123.03</v>
      </c>
      <c r="X352" s="201">
        <v>89077</v>
      </c>
      <c r="Y352" s="210">
        <v>15.97</v>
      </c>
      <c r="Z352" s="211" t="s">
        <v>3012</v>
      </c>
      <c r="AA352" s="212">
        <v>2.2386000000000004</v>
      </c>
      <c r="AB352" s="213">
        <v>77.508899999999997</v>
      </c>
      <c r="AC352" s="213">
        <v>6.5030142857142863</v>
      </c>
      <c r="AD352" s="212">
        <v>184.60390000000001</v>
      </c>
    </row>
    <row r="353" spans="1:30" s="214" customFormat="1" ht="15.75" customHeight="1" x14ac:dyDescent="0.2">
      <c r="A353" s="201">
        <v>551</v>
      </c>
      <c r="B353" s="202" t="s">
        <v>875</v>
      </c>
      <c r="C353" s="202" t="s">
        <v>38</v>
      </c>
      <c r="D353" s="203">
        <v>0</v>
      </c>
      <c r="E353" s="204">
        <v>15.04</v>
      </c>
      <c r="F353" s="204">
        <v>1.97</v>
      </c>
      <c r="G353" s="205" t="s">
        <v>39</v>
      </c>
      <c r="H353" s="202" t="s">
        <v>94</v>
      </c>
      <c r="I353" s="202" t="s">
        <v>49</v>
      </c>
      <c r="J353" s="202" t="s">
        <v>88</v>
      </c>
      <c r="K353" s="202" t="s">
        <v>51</v>
      </c>
      <c r="L353" s="206" t="s">
        <v>92</v>
      </c>
      <c r="M353" s="207">
        <v>0.39</v>
      </c>
      <c r="N353" s="202" t="s">
        <v>33</v>
      </c>
      <c r="O353" s="202" t="s">
        <v>53</v>
      </c>
      <c r="P353" s="202" t="s">
        <v>187</v>
      </c>
      <c r="Q353" s="202" t="s">
        <v>876</v>
      </c>
      <c r="R353" s="208">
        <v>75090</v>
      </c>
      <c r="S353" s="209">
        <v>42034</v>
      </c>
      <c r="T353" s="209">
        <v>42036</v>
      </c>
      <c r="U353" s="204">
        <v>21.514199999999999</v>
      </c>
      <c r="V353" s="201">
        <v>2</v>
      </c>
      <c r="W353" s="204">
        <v>31.18</v>
      </c>
      <c r="X353" s="201">
        <v>90909</v>
      </c>
      <c r="Y353" s="210">
        <v>46.849999999999994</v>
      </c>
      <c r="Z353" s="211" t="s">
        <v>3012</v>
      </c>
      <c r="AA353" s="212">
        <v>0</v>
      </c>
      <c r="AB353" s="213">
        <v>19.0198</v>
      </c>
      <c r="AC353" s="213">
        <v>6.0800999999999998</v>
      </c>
      <c r="AD353" s="212">
        <v>7.695800000000002</v>
      </c>
    </row>
    <row r="354" spans="1:30" s="214" customFormat="1" ht="15.75" customHeight="1" x14ac:dyDescent="0.2">
      <c r="A354" s="201">
        <v>550</v>
      </c>
      <c r="B354" s="202" t="s">
        <v>872</v>
      </c>
      <c r="C354" s="202" t="s">
        <v>38</v>
      </c>
      <c r="D354" s="203">
        <v>0.05</v>
      </c>
      <c r="E354" s="204">
        <v>1.68</v>
      </c>
      <c r="F354" s="204">
        <v>1.57</v>
      </c>
      <c r="G354" s="205" t="s">
        <v>39</v>
      </c>
      <c r="H354" s="202" t="s">
        <v>94</v>
      </c>
      <c r="I354" s="202" t="s">
        <v>49</v>
      </c>
      <c r="J354" s="202" t="s">
        <v>50</v>
      </c>
      <c r="K354" s="202" t="s">
        <v>51</v>
      </c>
      <c r="L354" s="206" t="s">
        <v>574</v>
      </c>
      <c r="M354" s="207">
        <v>0.59</v>
      </c>
      <c r="N354" s="202" t="s">
        <v>33</v>
      </c>
      <c r="O354" s="202" t="s">
        <v>53</v>
      </c>
      <c r="P354" s="202" t="s">
        <v>187</v>
      </c>
      <c r="Q354" s="202" t="s">
        <v>873</v>
      </c>
      <c r="R354" s="208">
        <v>78155</v>
      </c>
      <c r="S354" s="209">
        <v>42034</v>
      </c>
      <c r="T354" s="209">
        <v>42035</v>
      </c>
      <c r="U354" s="204">
        <v>-33.340000000000003</v>
      </c>
      <c r="V354" s="201">
        <v>11</v>
      </c>
      <c r="W354" s="204">
        <v>18.75</v>
      </c>
      <c r="X354" s="201">
        <v>90909</v>
      </c>
      <c r="Y354" s="210">
        <v>574.66999999999996</v>
      </c>
      <c r="Z354" s="211" t="s">
        <v>3012</v>
      </c>
      <c r="AA354" s="212">
        <v>0.92400000000000004</v>
      </c>
      <c r="AB354" s="213">
        <v>7.6875000000000009</v>
      </c>
      <c r="AC354" s="213">
        <v>1.0056818181818181</v>
      </c>
      <c r="AD354" s="212">
        <v>49.596000000000004</v>
      </c>
    </row>
    <row r="355" spans="1:30" s="37" customFormat="1" ht="15.75" customHeight="1" x14ac:dyDescent="0.2">
      <c r="A355" s="26">
        <v>2781</v>
      </c>
      <c r="B355" s="27" t="s">
        <v>895</v>
      </c>
      <c r="C355" s="27" t="s">
        <v>48</v>
      </c>
      <c r="D355" s="28">
        <v>0.03</v>
      </c>
      <c r="E355" s="29">
        <v>808.49</v>
      </c>
      <c r="F355" s="29">
        <v>55.3</v>
      </c>
      <c r="G355" s="30" t="s">
        <v>27</v>
      </c>
      <c r="H355" s="27" t="s">
        <v>40</v>
      </c>
      <c r="I355" s="27" t="s">
        <v>41</v>
      </c>
      <c r="J355" s="27" t="s">
        <v>57</v>
      </c>
      <c r="K355" s="27" t="s">
        <v>58</v>
      </c>
      <c r="L355" s="31" t="s">
        <v>898</v>
      </c>
      <c r="M355" s="32">
        <v>0.4</v>
      </c>
      <c r="N355" s="27" t="s">
        <v>33</v>
      </c>
      <c r="O355" s="27" t="s">
        <v>60</v>
      </c>
      <c r="P355" s="27" t="s">
        <v>139</v>
      </c>
      <c r="Q355" s="27" t="s">
        <v>897</v>
      </c>
      <c r="R355" s="33">
        <v>97071</v>
      </c>
      <c r="S355" s="34">
        <v>42035</v>
      </c>
      <c r="T355" s="34">
        <v>42042</v>
      </c>
      <c r="U355" s="29">
        <v>7576.11</v>
      </c>
      <c r="V355" s="26">
        <v>11</v>
      </c>
      <c r="W355" s="29">
        <v>8201.33</v>
      </c>
      <c r="X355" s="26">
        <v>87162</v>
      </c>
      <c r="Y355" s="35">
        <v>8.31</v>
      </c>
      <c r="Z355" s="1" t="s">
        <v>3013</v>
      </c>
      <c r="AA355" s="36">
        <v>266.80169999999998</v>
      </c>
      <c r="AB355" s="54">
        <v>4920.7979999999998</v>
      </c>
      <c r="AC355" s="54">
        <v>298.23018181818185</v>
      </c>
      <c r="AD355" s="36">
        <v>303.11830000000009</v>
      </c>
    </row>
    <row r="356" spans="1:30" s="37" customFormat="1" ht="15.75" customHeight="1" x14ac:dyDescent="0.2">
      <c r="A356" s="26">
        <v>911</v>
      </c>
      <c r="B356" s="27" t="s">
        <v>902</v>
      </c>
      <c r="C356" s="27" t="s">
        <v>3094</v>
      </c>
      <c r="D356" s="28">
        <v>0.04</v>
      </c>
      <c r="E356" s="29">
        <v>218.75</v>
      </c>
      <c r="F356" s="29">
        <v>69.64</v>
      </c>
      <c r="G356" s="30" t="s">
        <v>27</v>
      </c>
      <c r="H356" s="27" t="s">
        <v>94</v>
      </c>
      <c r="I356" s="27" t="s">
        <v>29</v>
      </c>
      <c r="J356" s="27" t="s">
        <v>30</v>
      </c>
      <c r="K356" s="27" t="s">
        <v>31</v>
      </c>
      <c r="L356" s="31" t="s">
        <v>874</v>
      </c>
      <c r="M356" s="32">
        <v>0.72</v>
      </c>
      <c r="N356" s="27" t="s">
        <v>33</v>
      </c>
      <c r="O356" s="27" t="s">
        <v>111</v>
      </c>
      <c r="P356" s="27" t="s">
        <v>903</v>
      </c>
      <c r="Q356" s="27" t="s">
        <v>904</v>
      </c>
      <c r="R356" s="33">
        <v>26003</v>
      </c>
      <c r="S356" s="34">
        <v>42035</v>
      </c>
      <c r="T356" s="34">
        <v>42036</v>
      </c>
      <c r="U356" s="29">
        <v>-655.52987499999995</v>
      </c>
      <c r="V356" s="26">
        <v>10</v>
      </c>
      <c r="W356" s="29">
        <v>2285.41</v>
      </c>
      <c r="X356" s="26">
        <v>90185</v>
      </c>
      <c r="Y356" s="35">
        <v>15.200000000000001</v>
      </c>
      <c r="Z356" s="1" t="s">
        <v>3014</v>
      </c>
      <c r="AA356" s="36">
        <v>87.5</v>
      </c>
      <c r="AB356" s="54">
        <v>639.91480000000001</v>
      </c>
      <c r="AC356" s="54">
        <v>164.54952</v>
      </c>
      <c r="AD356" s="36">
        <v>2783.7998749999997</v>
      </c>
    </row>
    <row r="357" spans="1:30" s="37" customFormat="1" ht="15.75" customHeight="1" x14ac:dyDescent="0.2">
      <c r="A357" s="26">
        <v>1723</v>
      </c>
      <c r="B357" s="27" t="s">
        <v>888</v>
      </c>
      <c r="C357" s="27" t="s">
        <v>48</v>
      </c>
      <c r="D357" s="28">
        <v>0.1</v>
      </c>
      <c r="E357" s="29">
        <v>49.99</v>
      </c>
      <c r="F357" s="29">
        <v>19.989999999999998</v>
      </c>
      <c r="G357" s="30" t="s">
        <v>87</v>
      </c>
      <c r="H357" s="27" t="s">
        <v>94</v>
      </c>
      <c r="I357" s="27" t="s">
        <v>41</v>
      </c>
      <c r="J357" s="27" t="s">
        <v>42</v>
      </c>
      <c r="K357" s="27" t="s">
        <v>73</v>
      </c>
      <c r="L357" s="31" t="s">
        <v>889</v>
      </c>
      <c r="M357" s="32">
        <v>0.45</v>
      </c>
      <c r="N357" s="27" t="s">
        <v>33</v>
      </c>
      <c r="O357" s="27" t="s">
        <v>60</v>
      </c>
      <c r="P357" s="27" t="s">
        <v>90</v>
      </c>
      <c r="Q357" s="27" t="s">
        <v>890</v>
      </c>
      <c r="R357" s="33">
        <v>92037</v>
      </c>
      <c r="S357" s="34">
        <v>42035</v>
      </c>
      <c r="T357" s="34">
        <v>42040</v>
      </c>
      <c r="U357" s="29">
        <v>13.507999999999999</v>
      </c>
      <c r="V357" s="26">
        <v>46</v>
      </c>
      <c r="W357" s="29">
        <v>2188.06</v>
      </c>
      <c r="X357" s="26">
        <v>40101</v>
      </c>
      <c r="Y357" s="35">
        <v>49.89</v>
      </c>
      <c r="Z357" s="1" t="s">
        <v>3013</v>
      </c>
      <c r="AA357" s="36">
        <v>229.95400000000004</v>
      </c>
      <c r="AB357" s="54">
        <v>1203.433</v>
      </c>
      <c r="AC357" s="54">
        <v>21.404934782608699</v>
      </c>
      <c r="AD357" s="36">
        <v>1924.6079999999999</v>
      </c>
    </row>
    <row r="358" spans="1:30" s="37" customFormat="1" ht="15.75" customHeight="1" x14ac:dyDescent="0.2">
      <c r="A358" s="26">
        <v>2202</v>
      </c>
      <c r="B358" s="27" t="s">
        <v>891</v>
      </c>
      <c r="C358" s="27" t="s">
        <v>48</v>
      </c>
      <c r="D358" s="28">
        <v>0.09</v>
      </c>
      <c r="E358" s="29">
        <v>160.97999999999999</v>
      </c>
      <c r="F358" s="29">
        <v>30</v>
      </c>
      <c r="G358" s="30" t="s">
        <v>27</v>
      </c>
      <c r="H358" s="27" t="s">
        <v>71</v>
      </c>
      <c r="I358" s="27" t="s">
        <v>29</v>
      </c>
      <c r="J358" s="27" t="s">
        <v>109</v>
      </c>
      <c r="K358" s="27" t="s">
        <v>58</v>
      </c>
      <c r="L358" s="31" t="s">
        <v>892</v>
      </c>
      <c r="M358" s="32">
        <v>0.62</v>
      </c>
      <c r="N358" s="27" t="s">
        <v>33</v>
      </c>
      <c r="O358" s="27" t="s">
        <v>53</v>
      </c>
      <c r="P358" s="27" t="s">
        <v>84</v>
      </c>
      <c r="Q358" s="27" t="s">
        <v>893</v>
      </c>
      <c r="R358" s="33">
        <v>55429</v>
      </c>
      <c r="S358" s="34">
        <v>42035</v>
      </c>
      <c r="T358" s="34">
        <v>42035</v>
      </c>
      <c r="U358" s="29">
        <v>357.428</v>
      </c>
      <c r="V358" s="26">
        <v>11</v>
      </c>
      <c r="W358" s="29">
        <v>1635.38</v>
      </c>
      <c r="X358" s="26">
        <v>86050</v>
      </c>
      <c r="Y358" s="35">
        <v>160.88999999999999</v>
      </c>
      <c r="Z358" s="1" t="s">
        <v>3012</v>
      </c>
      <c r="AA358" s="36">
        <v>159.37019999999998</v>
      </c>
      <c r="AB358" s="54">
        <v>621.44440000000009</v>
      </c>
      <c r="AC358" s="54">
        <v>92.175963636363647</v>
      </c>
      <c r="AD358" s="36">
        <v>1088.5818000000002</v>
      </c>
    </row>
    <row r="359" spans="1:30" s="37" customFormat="1" ht="15.75" customHeight="1" x14ac:dyDescent="0.2">
      <c r="A359" s="26">
        <v>1238</v>
      </c>
      <c r="B359" s="27" t="s">
        <v>900</v>
      </c>
      <c r="C359" s="27" t="s">
        <v>116</v>
      </c>
      <c r="D359" s="28">
        <v>0.01</v>
      </c>
      <c r="E359" s="29">
        <v>160.97999999999999</v>
      </c>
      <c r="F359" s="29">
        <v>30</v>
      </c>
      <c r="G359" s="30" t="s">
        <v>27</v>
      </c>
      <c r="H359" s="27" t="s">
        <v>94</v>
      </c>
      <c r="I359" s="27" t="s">
        <v>29</v>
      </c>
      <c r="J359" s="27" t="s">
        <v>109</v>
      </c>
      <c r="K359" s="27" t="s">
        <v>58</v>
      </c>
      <c r="L359" s="31" t="s">
        <v>892</v>
      </c>
      <c r="M359" s="32">
        <v>0.62</v>
      </c>
      <c r="N359" s="27" t="s">
        <v>33</v>
      </c>
      <c r="O359" s="27" t="s">
        <v>53</v>
      </c>
      <c r="P359" s="27" t="s">
        <v>187</v>
      </c>
      <c r="Q359" s="27" t="s">
        <v>901</v>
      </c>
      <c r="R359" s="33">
        <v>75104</v>
      </c>
      <c r="S359" s="34">
        <v>42035</v>
      </c>
      <c r="T359" s="34">
        <v>42037</v>
      </c>
      <c r="U359" s="29">
        <v>788.79</v>
      </c>
      <c r="V359" s="26">
        <v>10</v>
      </c>
      <c r="W359" s="29">
        <v>1634.67</v>
      </c>
      <c r="X359" s="26">
        <v>86075</v>
      </c>
      <c r="Y359" s="35">
        <v>6.21</v>
      </c>
      <c r="Z359" s="1" t="s">
        <v>3012</v>
      </c>
      <c r="AA359" s="36">
        <v>16.097999999999999</v>
      </c>
      <c r="AB359" s="54">
        <v>621.17460000000005</v>
      </c>
      <c r="AC359" s="54">
        <v>101.34954</v>
      </c>
      <c r="AD359" s="36">
        <v>799.78200000000015</v>
      </c>
    </row>
    <row r="360" spans="1:30" s="37" customFormat="1" ht="15.75" customHeight="1" x14ac:dyDescent="0.2">
      <c r="A360" s="26">
        <v>343</v>
      </c>
      <c r="B360" s="27" t="s">
        <v>885</v>
      </c>
      <c r="C360" s="27" t="s">
        <v>26</v>
      </c>
      <c r="D360" s="28">
        <v>0.03</v>
      </c>
      <c r="E360" s="29">
        <v>15.23</v>
      </c>
      <c r="F360" s="29">
        <v>27.75</v>
      </c>
      <c r="G360" s="30" t="s">
        <v>27</v>
      </c>
      <c r="H360" s="27" t="s">
        <v>94</v>
      </c>
      <c r="I360" s="27" t="s">
        <v>29</v>
      </c>
      <c r="J360" s="27" t="s">
        <v>30</v>
      </c>
      <c r="K360" s="27" t="s">
        <v>31</v>
      </c>
      <c r="L360" s="31" t="s">
        <v>886</v>
      </c>
      <c r="M360" s="32">
        <v>0.76</v>
      </c>
      <c r="N360" s="27" t="s">
        <v>33</v>
      </c>
      <c r="O360" s="27" t="s">
        <v>111</v>
      </c>
      <c r="P360" s="27" t="s">
        <v>331</v>
      </c>
      <c r="Q360" s="27" t="s">
        <v>887</v>
      </c>
      <c r="R360" s="33">
        <v>4401</v>
      </c>
      <c r="S360" s="34">
        <v>42035</v>
      </c>
      <c r="T360" s="34">
        <v>42036</v>
      </c>
      <c r="U360" s="29">
        <v>11.65095</v>
      </c>
      <c r="V360" s="26">
        <v>7</v>
      </c>
      <c r="W360" s="29">
        <v>111.86</v>
      </c>
      <c r="X360" s="26">
        <v>88151</v>
      </c>
      <c r="Y360" s="35">
        <v>4.9800000000000004</v>
      </c>
      <c r="Z360" s="1" t="s">
        <v>3014</v>
      </c>
      <c r="AA360" s="36">
        <v>3.1982999999999997</v>
      </c>
      <c r="AB360" s="54">
        <v>26.846399999999999</v>
      </c>
      <c r="AC360" s="54">
        <v>12.1448</v>
      </c>
      <c r="AD360" s="36">
        <v>69.260750000000002</v>
      </c>
    </row>
    <row r="361" spans="1:30" s="37" customFormat="1" ht="15.75" customHeight="1" x14ac:dyDescent="0.2">
      <c r="A361" s="26">
        <v>2137</v>
      </c>
      <c r="B361" s="27" t="s">
        <v>905</v>
      </c>
      <c r="C361" s="27" t="s">
        <v>3094</v>
      </c>
      <c r="D361" s="28">
        <v>0</v>
      </c>
      <c r="E361" s="29">
        <v>6.98</v>
      </c>
      <c r="F361" s="29">
        <v>1.6</v>
      </c>
      <c r="G361" s="30" t="s">
        <v>39</v>
      </c>
      <c r="H361" s="27" t="s">
        <v>94</v>
      </c>
      <c r="I361" s="27" t="s">
        <v>49</v>
      </c>
      <c r="J361" s="27" t="s">
        <v>88</v>
      </c>
      <c r="K361" s="27" t="s">
        <v>51</v>
      </c>
      <c r="L361" s="31" t="s">
        <v>722</v>
      </c>
      <c r="M361" s="32">
        <v>0.38</v>
      </c>
      <c r="N361" s="27" t="s">
        <v>33</v>
      </c>
      <c r="O361" s="27" t="s">
        <v>34</v>
      </c>
      <c r="P361" s="27" t="s">
        <v>123</v>
      </c>
      <c r="Q361" s="27" t="s">
        <v>906</v>
      </c>
      <c r="R361" s="33">
        <v>33407</v>
      </c>
      <c r="S361" s="34">
        <v>42035</v>
      </c>
      <c r="T361" s="34">
        <v>42037</v>
      </c>
      <c r="U361" s="29">
        <v>-343.86799999999999</v>
      </c>
      <c r="V361" s="26">
        <v>9</v>
      </c>
      <c r="W361" s="29">
        <v>64.48</v>
      </c>
      <c r="X361" s="26">
        <v>86002</v>
      </c>
      <c r="Y361" s="35">
        <v>2.0700000000000003</v>
      </c>
      <c r="Z361" s="1" t="s">
        <v>3011</v>
      </c>
      <c r="AA361" s="36">
        <v>0</v>
      </c>
      <c r="AB361" s="54">
        <v>39.977600000000002</v>
      </c>
      <c r="AC361" s="54">
        <v>2.7224888888888894</v>
      </c>
      <c r="AD361" s="36">
        <v>406.74799999999999</v>
      </c>
    </row>
    <row r="362" spans="1:30" s="37" customFormat="1" ht="15.75" customHeight="1" x14ac:dyDescent="0.2">
      <c r="A362" s="26">
        <v>2202</v>
      </c>
      <c r="B362" s="27" t="s">
        <v>891</v>
      </c>
      <c r="C362" s="27" t="s">
        <v>48</v>
      </c>
      <c r="D362" s="28">
        <v>0.09</v>
      </c>
      <c r="E362" s="29">
        <v>6.3</v>
      </c>
      <c r="F362" s="29">
        <v>0.5</v>
      </c>
      <c r="G362" s="30" t="s">
        <v>39</v>
      </c>
      <c r="H362" s="27" t="s">
        <v>71</v>
      </c>
      <c r="I362" s="27" t="s">
        <v>49</v>
      </c>
      <c r="J362" s="27" t="s">
        <v>152</v>
      </c>
      <c r="K362" s="27" t="s">
        <v>73</v>
      </c>
      <c r="L362" s="31" t="s">
        <v>422</v>
      </c>
      <c r="M362" s="32">
        <v>0.39</v>
      </c>
      <c r="N362" s="27" t="s">
        <v>33</v>
      </c>
      <c r="O362" s="27" t="s">
        <v>53</v>
      </c>
      <c r="P362" s="27" t="s">
        <v>84</v>
      </c>
      <c r="Q362" s="27" t="s">
        <v>893</v>
      </c>
      <c r="R362" s="33">
        <v>55429</v>
      </c>
      <c r="S362" s="34">
        <v>42035</v>
      </c>
      <c r="T362" s="34">
        <v>42035</v>
      </c>
      <c r="U362" s="29">
        <v>40.351199999999999</v>
      </c>
      <c r="V362" s="26">
        <v>10</v>
      </c>
      <c r="W362" s="29">
        <v>58.48</v>
      </c>
      <c r="X362" s="26">
        <v>86050</v>
      </c>
      <c r="Y362" s="35">
        <v>808.46</v>
      </c>
      <c r="Z362" s="1" t="s">
        <v>3012</v>
      </c>
      <c r="AA362" s="36">
        <v>5.67</v>
      </c>
      <c r="AB362" s="54">
        <v>35.672799999999995</v>
      </c>
      <c r="AC362" s="54">
        <v>2.2807200000000001</v>
      </c>
      <c r="AD362" s="36">
        <v>11.958799999999997</v>
      </c>
    </row>
    <row r="363" spans="1:30" s="37" customFormat="1" ht="15.75" customHeight="1" x14ac:dyDescent="0.2">
      <c r="A363" s="26">
        <v>2202</v>
      </c>
      <c r="B363" s="27" t="s">
        <v>891</v>
      </c>
      <c r="C363" s="27" t="s">
        <v>48</v>
      </c>
      <c r="D363" s="28">
        <v>0</v>
      </c>
      <c r="E363" s="29">
        <v>4.9800000000000004</v>
      </c>
      <c r="F363" s="29">
        <v>0.8</v>
      </c>
      <c r="G363" s="30" t="s">
        <v>39</v>
      </c>
      <c r="H363" s="27" t="s">
        <v>71</v>
      </c>
      <c r="I363" s="27" t="s">
        <v>49</v>
      </c>
      <c r="J363" s="27" t="s">
        <v>88</v>
      </c>
      <c r="K363" s="27" t="s">
        <v>51</v>
      </c>
      <c r="L363" s="31" t="s">
        <v>894</v>
      </c>
      <c r="M363" s="32">
        <v>0.36</v>
      </c>
      <c r="N363" s="27" t="s">
        <v>33</v>
      </c>
      <c r="O363" s="27" t="s">
        <v>53</v>
      </c>
      <c r="P363" s="27" t="s">
        <v>84</v>
      </c>
      <c r="Q363" s="27" t="s">
        <v>893</v>
      </c>
      <c r="R363" s="33">
        <v>55429</v>
      </c>
      <c r="S363" s="34">
        <v>42035</v>
      </c>
      <c r="T363" s="34">
        <v>42042</v>
      </c>
      <c r="U363" s="29">
        <v>27.634499999999999</v>
      </c>
      <c r="V363" s="26">
        <v>8</v>
      </c>
      <c r="W363" s="29">
        <v>40.049999999999997</v>
      </c>
      <c r="X363" s="26">
        <v>86050</v>
      </c>
      <c r="Y363" s="35">
        <v>6.48</v>
      </c>
      <c r="Z363" s="1" t="s">
        <v>3012</v>
      </c>
      <c r="AA363" s="36">
        <v>0</v>
      </c>
      <c r="AB363" s="54">
        <v>25.631999999999998</v>
      </c>
      <c r="AC363" s="54">
        <v>1.8022499999999999</v>
      </c>
      <c r="AD363" s="36">
        <v>11.615499999999997</v>
      </c>
    </row>
    <row r="364" spans="1:30" s="37" customFormat="1" ht="15.75" customHeight="1" x14ac:dyDescent="0.2">
      <c r="A364" s="26">
        <v>256</v>
      </c>
      <c r="B364" s="27" t="s">
        <v>882</v>
      </c>
      <c r="C364" s="27" t="s">
        <v>26</v>
      </c>
      <c r="D364" s="28">
        <v>0.03</v>
      </c>
      <c r="E364" s="29">
        <v>8.34</v>
      </c>
      <c r="F364" s="29">
        <v>2.64</v>
      </c>
      <c r="G364" s="30" t="s">
        <v>39</v>
      </c>
      <c r="H364" s="27" t="s">
        <v>71</v>
      </c>
      <c r="I364" s="27" t="s">
        <v>49</v>
      </c>
      <c r="J364" s="27" t="s">
        <v>568</v>
      </c>
      <c r="K364" s="27" t="s">
        <v>43</v>
      </c>
      <c r="L364" s="31" t="s">
        <v>883</v>
      </c>
      <c r="M364" s="32">
        <v>0.59</v>
      </c>
      <c r="N364" s="27" t="s">
        <v>33</v>
      </c>
      <c r="O364" s="27" t="s">
        <v>111</v>
      </c>
      <c r="P364" s="27" t="s">
        <v>320</v>
      </c>
      <c r="Q364" s="27" t="s">
        <v>884</v>
      </c>
      <c r="R364" s="33">
        <v>17331</v>
      </c>
      <c r="S364" s="34">
        <v>42035</v>
      </c>
      <c r="T364" s="34">
        <v>42037</v>
      </c>
      <c r="U364" s="29">
        <v>0.68400000000000005</v>
      </c>
      <c r="V364" s="26">
        <v>4</v>
      </c>
      <c r="W364" s="29">
        <v>34.64</v>
      </c>
      <c r="X364" s="26">
        <v>86267</v>
      </c>
      <c r="Y364" s="35">
        <v>160.97</v>
      </c>
      <c r="Z364" s="1" t="s">
        <v>3014</v>
      </c>
      <c r="AA364" s="36">
        <v>1.0007999999999999</v>
      </c>
      <c r="AB364" s="54">
        <v>14.202400000000001</v>
      </c>
      <c r="AC364" s="54">
        <v>5.1093999999999999</v>
      </c>
      <c r="AD364" s="36">
        <v>30.315200000000001</v>
      </c>
    </row>
    <row r="365" spans="1:30" s="37" customFormat="1" ht="15.75" customHeight="1" x14ac:dyDescent="0.2">
      <c r="A365" s="26">
        <v>2781</v>
      </c>
      <c r="B365" s="27" t="s">
        <v>895</v>
      </c>
      <c r="C365" s="27" t="s">
        <v>48</v>
      </c>
      <c r="D365" s="28">
        <v>0</v>
      </c>
      <c r="E365" s="29">
        <v>6.48</v>
      </c>
      <c r="F365" s="29">
        <v>8.19</v>
      </c>
      <c r="G365" s="30" t="s">
        <v>39</v>
      </c>
      <c r="H365" s="27" t="s">
        <v>40</v>
      </c>
      <c r="I365" s="27" t="s">
        <v>49</v>
      </c>
      <c r="J365" s="27" t="s">
        <v>88</v>
      </c>
      <c r="K365" s="27" t="s">
        <v>73</v>
      </c>
      <c r="L365" s="31" t="s">
        <v>899</v>
      </c>
      <c r="M365" s="32">
        <v>0.37</v>
      </c>
      <c r="N365" s="27" t="s">
        <v>33</v>
      </c>
      <c r="O365" s="27" t="s">
        <v>60</v>
      </c>
      <c r="P365" s="27" t="s">
        <v>139</v>
      </c>
      <c r="Q365" s="27" t="s">
        <v>897</v>
      </c>
      <c r="R365" s="33">
        <v>97071</v>
      </c>
      <c r="S365" s="34">
        <v>42035</v>
      </c>
      <c r="T365" s="34">
        <v>42042</v>
      </c>
      <c r="U365" s="29">
        <v>-43.26</v>
      </c>
      <c r="V365" s="26">
        <v>3</v>
      </c>
      <c r="W365" s="29">
        <v>22.67</v>
      </c>
      <c r="X365" s="26">
        <v>87162</v>
      </c>
      <c r="Y365" s="35">
        <v>7.59</v>
      </c>
      <c r="Z365" s="1" t="s">
        <v>3013</v>
      </c>
      <c r="AA365" s="36">
        <v>0</v>
      </c>
      <c r="AB365" s="54">
        <v>14.282100000000002</v>
      </c>
      <c r="AC365" s="54">
        <v>2.7959666666666672</v>
      </c>
      <c r="AD365" s="36">
        <v>57.74</v>
      </c>
    </row>
    <row r="366" spans="1:30" s="37" customFormat="1" ht="15.75" customHeight="1" x14ac:dyDescent="0.2">
      <c r="A366" s="26">
        <v>911</v>
      </c>
      <c r="B366" s="27" t="s">
        <v>902</v>
      </c>
      <c r="C366" s="27" t="s">
        <v>3094</v>
      </c>
      <c r="D366" s="28">
        <v>0.05</v>
      </c>
      <c r="E366" s="29">
        <v>7.64</v>
      </c>
      <c r="F366" s="29">
        <v>5.83</v>
      </c>
      <c r="G366" s="30" t="s">
        <v>39</v>
      </c>
      <c r="H366" s="27" t="s">
        <v>94</v>
      </c>
      <c r="I366" s="27" t="s">
        <v>49</v>
      </c>
      <c r="J366" s="27" t="s">
        <v>88</v>
      </c>
      <c r="K366" s="27" t="s">
        <v>51</v>
      </c>
      <c r="L366" s="31" t="s">
        <v>232</v>
      </c>
      <c r="M366" s="32">
        <v>0.36</v>
      </c>
      <c r="N366" s="27" t="s">
        <v>33</v>
      </c>
      <c r="O366" s="27" t="s">
        <v>111</v>
      </c>
      <c r="P366" s="27" t="s">
        <v>903</v>
      </c>
      <c r="Q366" s="27" t="s">
        <v>904</v>
      </c>
      <c r="R366" s="33">
        <v>26003</v>
      </c>
      <c r="S366" s="34">
        <v>42035</v>
      </c>
      <c r="T366" s="34">
        <v>42037</v>
      </c>
      <c r="U366" s="29">
        <v>-21.018000000000001</v>
      </c>
      <c r="V366" s="26">
        <v>2</v>
      </c>
      <c r="W366" s="29">
        <v>16.600000000000001</v>
      </c>
      <c r="X366" s="26">
        <v>90185</v>
      </c>
      <c r="Y366" s="35">
        <v>218.71</v>
      </c>
      <c r="Z366" s="1" t="s">
        <v>3014</v>
      </c>
      <c r="AA366" s="36">
        <v>0.76400000000000001</v>
      </c>
      <c r="AB366" s="54">
        <v>10.624000000000001</v>
      </c>
      <c r="AC366" s="54">
        <v>2.988</v>
      </c>
      <c r="AD366" s="36">
        <v>31.024000000000001</v>
      </c>
    </row>
    <row r="367" spans="1:30" s="37" customFormat="1" ht="15.75" customHeight="1" x14ac:dyDescent="0.2">
      <c r="A367" s="26">
        <v>2781</v>
      </c>
      <c r="B367" s="27" t="s">
        <v>895</v>
      </c>
      <c r="C367" s="27" t="s">
        <v>48</v>
      </c>
      <c r="D367" s="28">
        <v>0.09</v>
      </c>
      <c r="E367" s="29">
        <v>2.16</v>
      </c>
      <c r="F367" s="29">
        <v>6.05</v>
      </c>
      <c r="G367" s="30" t="s">
        <v>39</v>
      </c>
      <c r="H367" s="27" t="s">
        <v>40</v>
      </c>
      <c r="I367" s="27" t="s">
        <v>49</v>
      </c>
      <c r="J367" s="27" t="s">
        <v>72</v>
      </c>
      <c r="K367" s="27" t="s">
        <v>73</v>
      </c>
      <c r="L367" s="31" t="s">
        <v>896</v>
      </c>
      <c r="M367" s="32">
        <v>0.37</v>
      </c>
      <c r="N367" s="27" t="s">
        <v>33</v>
      </c>
      <c r="O367" s="27" t="s">
        <v>60</v>
      </c>
      <c r="P367" s="27" t="s">
        <v>139</v>
      </c>
      <c r="Q367" s="27" t="s">
        <v>897</v>
      </c>
      <c r="R367" s="33">
        <v>97071</v>
      </c>
      <c r="S367" s="34">
        <v>42035</v>
      </c>
      <c r="T367" s="34">
        <v>42039</v>
      </c>
      <c r="U367" s="29">
        <v>-37.789000000000001</v>
      </c>
      <c r="V367" s="26">
        <v>2</v>
      </c>
      <c r="W367" s="29">
        <v>5.48</v>
      </c>
      <c r="X367" s="26">
        <v>87162</v>
      </c>
      <c r="Y367" s="35">
        <v>6.98</v>
      </c>
      <c r="Z367" s="1" t="s">
        <v>3013</v>
      </c>
      <c r="AA367" s="36">
        <v>0.38880000000000003</v>
      </c>
      <c r="AB367" s="54">
        <v>3.4524000000000004</v>
      </c>
      <c r="AC367" s="54">
        <v>1.0138</v>
      </c>
      <c r="AD367" s="36">
        <v>36.830200000000005</v>
      </c>
    </row>
    <row r="368" spans="1:30" s="37" customFormat="1" ht="15.75" customHeight="1" x14ac:dyDescent="0.2">
      <c r="A368" s="26">
        <v>1949</v>
      </c>
      <c r="B368" s="27" t="s">
        <v>914</v>
      </c>
      <c r="C368" s="27" t="s">
        <v>48</v>
      </c>
      <c r="D368" s="28">
        <v>0.05</v>
      </c>
      <c r="E368" s="29">
        <v>424.21</v>
      </c>
      <c r="F368" s="29">
        <v>110.2</v>
      </c>
      <c r="G368" s="30" t="s">
        <v>27</v>
      </c>
      <c r="H368" s="27" t="s">
        <v>3095</v>
      </c>
      <c r="I368" s="27" t="s">
        <v>29</v>
      </c>
      <c r="J368" s="27" t="s">
        <v>30</v>
      </c>
      <c r="K368" s="27" t="s">
        <v>31</v>
      </c>
      <c r="L368" s="31" t="s">
        <v>915</v>
      </c>
      <c r="M368" s="32">
        <v>0.67</v>
      </c>
      <c r="N368" s="27" t="s">
        <v>33</v>
      </c>
      <c r="O368" s="27" t="s">
        <v>60</v>
      </c>
      <c r="P368" s="27" t="s">
        <v>277</v>
      </c>
      <c r="Q368" s="27" t="s">
        <v>916</v>
      </c>
      <c r="R368" s="33">
        <v>59715</v>
      </c>
      <c r="S368" s="34">
        <v>42036</v>
      </c>
      <c r="T368" s="34">
        <v>42040</v>
      </c>
      <c r="U368" s="29">
        <v>-213.40280000000001</v>
      </c>
      <c r="V368" s="26">
        <v>12</v>
      </c>
      <c r="W368" s="29">
        <v>4935.22</v>
      </c>
      <c r="X368" s="26">
        <v>90415</v>
      </c>
      <c r="Y368" s="35">
        <v>6.34</v>
      </c>
      <c r="Z368" s="1" t="s">
        <v>3013</v>
      </c>
      <c r="AA368" s="36">
        <v>254.52600000000001</v>
      </c>
      <c r="AB368" s="54">
        <v>1628.6225999999999</v>
      </c>
      <c r="AC368" s="54">
        <v>275.54978333333338</v>
      </c>
      <c r="AD368" s="36">
        <v>4783.8968000000004</v>
      </c>
    </row>
    <row r="369" spans="1:30" s="37" customFormat="1" ht="15.75" customHeight="1" x14ac:dyDescent="0.2">
      <c r="A369" s="26">
        <v>2071</v>
      </c>
      <c r="B369" s="27" t="s">
        <v>917</v>
      </c>
      <c r="C369" s="27" t="s">
        <v>3094</v>
      </c>
      <c r="D369" s="28">
        <v>0.03</v>
      </c>
      <c r="E369" s="29">
        <v>60.98</v>
      </c>
      <c r="F369" s="29">
        <v>1.99</v>
      </c>
      <c r="G369" s="30" t="s">
        <v>39</v>
      </c>
      <c r="H369" s="27" t="s">
        <v>94</v>
      </c>
      <c r="I369" s="27" t="s">
        <v>41</v>
      </c>
      <c r="J369" s="27" t="s">
        <v>42</v>
      </c>
      <c r="K369" s="27" t="s">
        <v>43</v>
      </c>
      <c r="L369" s="31" t="s">
        <v>918</v>
      </c>
      <c r="M369" s="32">
        <v>0.5</v>
      </c>
      <c r="N369" s="27" t="s">
        <v>33</v>
      </c>
      <c r="O369" s="27" t="s">
        <v>53</v>
      </c>
      <c r="P369" s="27" t="s">
        <v>289</v>
      </c>
      <c r="Q369" s="27" t="s">
        <v>919</v>
      </c>
      <c r="R369" s="33">
        <v>48336</v>
      </c>
      <c r="S369" s="34">
        <v>42036</v>
      </c>
      <c r="T369" s="34">
        <v>42036</v>
      </c>
      <c r="U369" s="29">
        <v>976.2672</v>
      </c>
      <c r="V369" s="26">
        <v>23</v>
      </c>
      <c r="W369" s="29">
        <v>1414.88</v>
      </c>
      <c r="X369" s="26">
        <v>88555</v>
      </c>
      <c r="Y369" s="35">
        <v>80.91</v>
      </c>
      <c r="Z369" s="1" t="s">
        <v>3012</v>
      </c>
      <c r="AA369" s="36">
        <v>42.0762</v>
      </c>
      <c r="AB369" s="54">
        <v>707.44</v>
      </c>
      <c r="AC369" s="54">
        <v>30.75826086956522</v>
      </c>
      <c r="AD369" s="36">
        <v>394.54660000000013</v>
      </c>
    </row>
    <row r="370" spans="1:30" s="37" customFormat="1" ht="15.75" customHeight="1" x14ac:dyDescent="0.2">
      <c r="A370" s="26">
        <v>2122</v>
      </c>
      <c r="B370" s="27" t="s">
        <v>908</v>
      </c>
      <c r="C370" s="27" t="s">
        <v>26</v>
      </c>
      <c r="D370" s="28">
        <v>0.06</v>
      </c>
      <c r="E370" s="29">
        <v>80.97</v>
      </c>
      <c r="F370" s="29">
        <v>33.6</v>
      </c>
      <c r="G370" s="30" t="s">
        <v>27</v>
      </c>
      <c r="H370" s="27" t="s">
        <v>40</v>
      </c>
      <c r="I370" s="27" t="s">
        <v>41</v>
      </c>
      <c r="J370" s="27" t="s">
        <v>57</v>
      </c>
      <c r="K370" s="27" t="s">
        <v>58</v>
      </c>
      <c r="L370" s="31" t="s">
        <v>909</v>
      </c>
      <c r="M370" s="32">
        <v>0.37</v>
      </c>
      <c r="N370" s="27" t="s">
        <v>33</v>
      </c>
      <c r="O370" s="27" t="s">
        <v>34</v>
      </c>
      <c r="P370" s="27" t="s">
        <v>45</v>
      </c>
      <c r="Q370" s="27" t="s">
        <v>910</v>
      </c>
      <c r="R370" s="33">
        <v>72116</v>
      </c>
      <c r="S370" s="34">
        <v>42036</v>
      </c>
      <c r="T370" s="34">
        <v>42038</v>
      </c>
      <c r="U370" s="29">
        <v>-15.1844</v>
      </c>
      <c r="V370" s="26">
        <v>10</v>
      </c>
      <c r="W370" s="29">
        <v>799.76</v>
      </c>
      <c r="X370" s="26">
        <v>89664</v>
      </c>
      <c r="Y370" s="35">
        <v>3.0700000000000003</v>
      </c>
      <c r="Z370" s="1" t="s">
        <v>3011</v>
      </c>
      <c r="AA370" s="36">
        <v>48.582000000000001</v>
      </c>
      <c r="AB370" s="54">
        <v>503.84879999999998</v>
      </c>
      <c r="AC370" s="54">
        <v>29.59112</v>
      </c>
      <c r="AD370" s="36">
        <v>732.76239999999996</v>
      </c>
    </row>
    <row r="371" spans="1:30" s="37" customFormat="1" ht="15.75" customHeight="1" x14ac:dyDescent="0.2">
      <c r="A371" s="26">
        <v>2072</v>
      </c>
      <c r="B371" s="27" t="s">
        <v>920</v>
      </c>
      <c r="C371" s="27" t="s">
        <v>3094</v>
      </c>
      <c r="D371" s="28">
        <v>0</v>
      </c>
      <c r="E371" s="29">
        <v>10.31</v>
      </c>
      <c r="F371" s="29">
        <v>1.79</v>
      </c>
      <c r="G371" s="30" t="s">
        <v>39</v>
      </c>
      <c r="H371" s="27" t="s">
        <v>94</v>
      </c>
      <c r="I371" s="27" t="s">
        <v>49</v>
      </c>
      <c r="J371" s="27" t="s">
        <v>88</v>
      </c>
      <c r="K371" s="27" t="s">
        <v>51</v>
      </c>
      <c r="L371" s="31" t="s">
        <v>921</v>
      </c>
      <c r="M371" s="32">
        <v>0.38</v>
      </c>
      <c r="N371" s="27" t="s">
        <v>33</v>
      </c>
      <c r="O371" s="27" t="s">
        <v>53</v>
      </c>
      <c r="P371" s="27" t="s">
        <v>289</v>
      </c>
      <c r="Q371" s="27" t="s">
        <v>922</v>
      </c>
      <c r="R371" s="33">
        <v>48505</v>
      </c>
      <c r="S371" s="34">
        <v>42036</v>
      </c>
      <c r="T371" s="34">
        <v>42038</v>
      </c>
      <c r="U371" s="29">
        <v>167.46299999999999</v>
      </c>
      <c r="V371" s="26">
        <v>23</v>
      </c>
      <c r="W371" s="29">
        <v>242.7</v>
      </c>
      <c r="X371" s="26">
        <v>88555</v>
      </c>
      <c r="Y371" s="35">
        <v>424.15999999999997</v>
      </c>
      <c r="Z371" s="1" t="s">
        <v>3012</v>
      </c>
      <c r="AA371" s="36">
        <v>0</v>
      </c>
      <c r="AB371" s="54">
        <v>150.47399999999999</v>
      </c>
      <c r="AC371" s="54">
        <v>4.0098260869565214</v>
      </c>
      <c r="AD371" s="36">
        <v>73.447000000000003</v>
      </c>
    </row>
    <row r="372" spans="1:30" s="37" customFormat="1" ht="15.75" customHeight="1" x14ac:dyDescent="0.2">
      <c r="A372" s="26">
        <v>510</v>
      </c>
      <c r="B372" s="27" t="s">
        <v>461</v>
      </c>
      <c r="C372" s="27" t="s">
        <v>26</v>
      </c>
      <c r="D372" s="28">
        <v>0.03</v>
      </c>
      <c r="E372" s="29">
        <v>6.37</v>
      </c>
      <c r="F372" s="29">
        <v>5.19</v>
      </c>
      <c r="G372" s="30" t="s">
        <v>39</v>
      </c>
      <c r="H372" s="27" t="s">
        <v>94</v>
      </c>
      <c r="I372" s="27" t="s">
        <v>49</v>
      </c>
      <c r="J372" s="27" t="s">
        <v>72</v>
      </c>
      <c r="K372" s="27" t="s">
        <v>73</v>
      </c>
      <c r="L372" s="31" t="s">
        <v>907</v>
      </c>
      <c r="M372" s="32">
        <v>0.38</v>
      </c>
      <c r="N372" s="27" t="s">
        <v>33</v>
      </c>
      <c r="O372" s="27" t="s">
        <v>60</v>
      </c>
      <c r="P372" s="27" t="s">
        <v>90</v>
      </c>
      <c r="Q372" s="27" t="s">
        <v>463</v>
      </c>
      <c r="R372" s="33">
        <v>95336</v>
      </c>
      <c r="S372" s="34">
        <v>42036</v>
      </c>
      <c r="T372" s="34">
        <v>42037</v>
      </c>
      <c r="U372" s="29">
        <v>-29.092700000000001</v>
      </c>
      <c r="V372" s="26">
        <v>14</v>
      </c>
      <c r="W372" s="29">
        <v>89.79</v>
      </c>
      <c r="X372" s="26">
        <v>90059</v>
      </c>
      <c r="Y372" s="35">
        <v>60.949999999999996</v>
      </c>
      <c r="Z372" s="1" t="s">
        <v>3013</v>
      </c>
      <c r="AA372" s="36">
        <v>2.6753999999999998</v>
      </c>
      <c r="AB372" s="54">
        <v>55.669800000000002</v>
      </c>
      <c r="AC372" s="54">
        <v>2.437157142857143</v>
      </c>
      <c r="AD372" s="36">
        <v>111.01730000000001</v>
      </c>
    </row>
    <row r="373" spans="1:30" s="37" customFormat="1" ht="15.75" customHeight="1" x14ac:dyDescent="0.2">
      <c r="A373" s="26">
        <v>2071</v>
      </c>
      <c r="B373" s="27" t="s">
        <v>917</v>
      </c>
      <c r="C373" s="27" t="s">
        <v>3094</v>
      </c>
      <c r="D373" s="28">
        <v>0.04</v>
      </c>
      <c r="E373" s="29">
        <v>3.08</v>
      </c>
      <c r="F373" s="29">
        <v>0.99</v>
      </c>
      <c r="G373" s="30" t="s">
        <v>39</v>
      </c>
      <c r="H373" s="27" t="s">
        <v>94</v>
      </c>
      <c r="I373" s="27" t="s">
        <v>49</v>
      </c>
      <c r="J373" s="27" t="s">
        <v>152</v>
      </c>
      <c r="K373" s="27" t="s">
        <v>73</v>
      </c>
      <c r="L373" s="31" t="s">
        <v>658</v>
      </c>
      <c r="M373" s="32">
        <v>0.37</v>
      </c>
      <c r="N373" s="27" t="s">
        <v>33</v>
      </c>
      <c r="O373" s="27" t="s">
        <v>53</v>
      </c>
      <c r="P373" s="27" t="s">
        <v>289</v>
      </c>
      <c r="Q373" s="27" t="s">
        <v>919</v>
      </c>
      <c r="R373" s="33">
        <v>48336</v>
      </c>
      <c r="S373" s="34">
        <v>42036</v>
      </c>
      <c r="T373" s="34">
        <v>42037</v>
      </c>
      <c r="U373" s="29">
        <v>23.204699999999999</v>
      </c>
      <c r="V373" s="26">
        <v>11</v>
      </c>
      <c r="W373" s="29">
        <v>33.630000000000003</v>
      </c>
      <c r="X373" s="26">
        <v>88555</v>
      </c>
      <c r="Y373" s="35">
        <v>3.04</v>
      </c>
      <c r="Z373" s="1" t="s">
        <v>3012</v>
      </c>
      <c r="AA373" s="36">
        <v>1.3552</v>
      </c>
      <c r="AB373" s="54">
        <v>21.186900000000001</v>
      </c>
      <c r="AC373" s="54">
        <v>1.1311909090909091</v>
      </c>
      <c r="AD373" s="36">
        <v>8.0801000000000052</v>
      </c>
    </row>
    <row r="374" spans="1:30" s="37" customFormat="1" ht="15.75" customHeight="1" x14ac:dyDescent="0.2">
      <c r="A374" s="26">
        <v>1211</v>
      </c>
      <c r="B374" s="27" t="s">
        <v>911</v>
      </c>
      <c r="C374" s="27" t="s">
        <v>48</v>
      </c>
      <c r="D374" s="28">
        <v>0.01</v>
      </c>
      <c r="E374" s="29">
        <v>3.08</v>
      </c>
      <c r="F374" s="29">
        <v>0.5</v>
      </c>
      <c r="G374" s="30" t="s">
        <v>39</v>
      </c>
      <c r="H374" s="27" t="s">
        <v>94</v>
      </c>
      <c r="I374" s="27" t="s">
        <v>49</v>
      </c>
      <c r="J374" s="27" t="s">
        <v>152</v>
      </c>
      <c r="K374" s="27" t="s">
        <v>73</v>
      </c>
      <c r="L374" s="31" t="s">
        <v>912</v>
      </c>
      <c r="M374" s="32">
        <v>0.37</v>
      </c>
      <c r="N374" s="27" t="s">
        <v>33</v>
      </c>
      <c r="O374" s="27" t="s">
        <v>53</v>
      </c>
      <c r="P374" s="27" t="s">
        <v>54</v>
      </c>
      <c r="Q374" s="27" t="s">
        <v>913</v>
      </c>
      <c r="R374" s="33">
        <v>46806</v>
      </c>
      <c r="S374" s="34">
        <v>42036</v>
      </c>
      <c r="T374" s="34">
        <v>42041</v>
      </c>
      <c r="U374" s="29">
        <v>9.0045000000000002</v>
      </c>
      <c r="V374" s="26">
        <v>4</v>
      </c>
      <c r="W374" s="29">
        <v>13.05</v>
      </c>
      <c r="X374" s="26">
        <v>88598</v>
      </c>
      <c r="Y374" s="35">
        <v>10.31</v>
      </c>
      <c r="Z374" s="1" t="s">
        <v>3012</v>
      </c>
      <c r="AA374" s="36">
        <v>0.1232</v>
      </c>
      <c r="AB374" s="54">
        <v>8.2215000000000007</v>
      </c>
      <c r="AC374" s="54">
        <v>1.207125</v>
      </c>
      <c r="AD374" s="36">
        <v>3.4222999999999999</v>
      </c>
    </row>
    <row r="375" spans="1:30" s="37" customFormat="1" ht="15.75" customHeight="1" x14ac:dyDescent="0.2">
      <c r="A375" s="26">
        <v>3196</v>
      </c>
      <c r="B375" s="27" t="s">
        <v>939</v>
      </c>
      <c r="C375" s="27" t="s">
        <v>3094</v>
      </c>
      <c r="D375" s="28">
        <v>0.03</v>
      </c>
      <c r="E375" s="29">
        <v>200.97</v>
      </c>
      <c r="F375" s="29">
        <v>15.59</v>
      </c>
      <c r="G375" s="30" t="s">
        <v>27</v>
      </c>
      <c r="H375" s="27" t="s">
        <v>71</v>
      </c>
      <c r="I375" s="27" t="s">
        <v>41</v>
      </c>
      <c r="J375" s="27" t="s">
        <v>57</v>
      </c>
      <c r="K375" s="27" t="s">
        <v>58</v>
      </c>
      <c r="L375" s="31" t="s">
        <v>940</v>
      </c>
      <c r="M375" s="32">
        <v>0.36</v>
      </c>
      <c r="N375" s="27" t="s">
        <v>33</v>
      </c>
      <c r="O375" s="27" t="s">
        <v>60</v>
      </c>
      <c r="P375" s="27" t="s">
        <v>90</v>
      </c>
      <c r="Q375" s="27" t="s">
        <v>941</v>
      </c>
      <c r="R375" s="33">
        <v>94109</v>
      </c>
      <c r="S375" s="34">
        <v>42037</v>
      </c>
      <c r="T375" s="34">
        <v>42038</v>
      </c>
      <c r="U375" s="29">
        <v>1951.3</v>
      </c>
      <c r="V375" s="26">
        <v>43</v>
      </c>
      <c r="W375" s="29">
        <v>8717.75</v>
      </c>
      <c r="X375" s="26">
        <v>24294</v>
      </c>
      <c r="Y375" s="35">
        <v>154.03</v>
      </c>
      <c r="Z375" s="1" t="s">
        <v>3013</v>
      </c>
      <c r="AA375" s="36">
        <v>259.25130000000001</v>
      </c>
      <c r="AB375" s="54">
        <v>5579.36</v>
      </c>
      <c r="AC375" s="54">
        <v>72.985813953488375</v>
      </c>
      <c r="AD375" s="36">
        <v>6491.6087000000007</v>
      </c>
    </row>
    <row r="376" spans="1:30" s="37" customFormat="1" ht="15.75" customHeight="1" x14ac:dyDescent="0.2">
      <c r="A376" s="26">
        <v>68</v>
      </c>
      <c r="B376" s="27" t="s">
        <v>108</v>
      </c>
      <c r="C376" s="27" t="s">
        <v>38</v>
      </c>
      <c r="D376" s="28">
        <v>0.09</v>
      </c>
      <c r="E376" s="29">
        <v>122.99</v>
      </c>
      <c r="F376" s="29">
        <v>70.2</v>
      </c>
      <c r="G376" s="30" t="s">
        <v>27</v>
      </c>
      <c r="H376" s="27" t="s">
        <v>94</v>
      </c>
      <c r="I376" s="27" t="s">
        <v>29</v>
      </c>
      <c r="J376" s="27" t="s">
        <v>109</v>
      </c>
      <c r="K376" s="27" t="s">
        <v>58</v>
      </c>
      <c r="L376" s="31" t="s">
        <v>804</v>
      </c>
      <c r="M376" s="32">
        <v>0.74</v>
      </c>
      <c r="N376" s="27" t="s">
        <v>33</v>
      </c>
      <c r="O376" s="27" t="s">
        <v>111</v>
      </c>
      <c r="P376" s="27" t="s">
        <v>112</v>
      </c>
      <c r="Q376" s="27" t="s">
        <v>113</v>
      </c>
      <c r="R376" s="33">
        <v>10177</v>
      </c>
      <c r="S376" s="34">
        <v>42037</v>
      </c>
      <c r="T376" s="34">
        <v>42039</v>
      </c>
      <c r="U376" s="29">
        <v>-2426.5500000000002</v>
      </c>
      <c r="V376" s="26">
        <v>49</v>
      </c>
      <c r="W376" s="29">
        <v>5718.85</v>
      </c>
      <c r="X376" s="26">
        <v>55713</v>
      </c>
      <c r="Y376" s="35">
        <v>12.97</v>
      </c>
      <c r="Z376" s="1" t="s">
        <v>3014</v>
      </c>
      <c r="AA376" s="36">
        <v>542.38589999999999</v>
      </c>
      <c r="AB376" s="54">
        <v>1486.9010000000001</v>
      </c>
      <c r="AC376" s="54">
        <v>86.366306122448989</v>
      </c>
      <c r="AD376" s="36">
        <v>7532.8141000000005</v>
      </c>
    </row>
    <row r="377" spans="1:30" s="37" customFormat="1" ht="15.75" customHeight="1" x14ac:dyDescent="0.2">
      <c r="A377" s="26">
        <v>3197</v>
      </c>
      <c r="B377" s="27" t="s">
        <v>942</v>
      </c>
      <c r="C377" s="27" t="s">
        <v>3094</v>
      </c>
      <c r="D377" s="28">
        <v>0.03</v>
      </c>
      <c r="E377" s="29">
        <v>200.97</v>
      </c>
      <c r="F377" s="29">
        <v>15.59</v>
      </c>
      <c r="G377" s="30" t="s">
        <v>27</v>
      </c>
      <c r="H377" s="27" t="s">
        <v>71</v>
      </c>
      <c r="I377" s="27" t="s">
        <v>41</v>
      </c>
      <c r="J377" s="27" t="s">
        <v>57</v>
      </c>
      <c r="K377" s="27" t="s">
        <v>58</v>
      </c>
      <c r="L377" s="31" t="s">
        <v>940</v>
      </c>
      <c r="M377" s="32">
        <v>0.36</v>
      </c>
      <c r="N377" s="27" t="s">
        <v>33</v>
      </c>
      <c r="O377" s="27" t="s">
        <v>53</v>
      </c>
      <c r="P377" s="27" t="s">
        <v>103</v>
      </c>
      <c r="Q377" s="27" t="s">
        <v>943</v>
      </c>
      <c r="R377" s="33">
        <v>60062</v>
      </c>
      <c r="S377" s="34">
        <v>42037</v>
      </c>
      <c r="T377" s="34">
        <v>42038</v>
      </c>
      <c r="U377" s="29">
        <v>1538.7828</v>
      </c>
      <c r="V377" s="26">
        <v>11</v>
      </c>
      <c r="W377" s="29">
        <v>2230.12</v>
      </c>
      <c r="X377" s="26">
        <v>90850</v>
      </c>
      <c r="Y377" s="35">
        <v>4.8500000000000005</v>
      </c>
      <c r="Z377" s="1" t="s">
        <v>3012</v>
      </c>
      <c r="AA377" s="36">
        <v>66.320099999999996</v>
      </c>
      <c r="AB377" s="54">
        <v>1427.2767999999999</v>
      </c>
      <c r="AC377" s="54">
        <v>72.985745454545452</v>
      </c>
      <c r="AD377" s="36">
        <v>609.42710000000011</v>
      </c>
    </row>
    <row r="378" spans="1:30" s="37" customFormat="1" ht="15.75" customHeight="1" x14ac:dyDescent="0.2">
      <c r="A378" s="26">
        <v>70</v>
      </c>
      <c r="B378" s="27" t="s">
        <v>927</v>
      </c>
      <c r="C378" s="27" t="s">
        <v>38</v>
      </c>
      <c r="D378" s="28">
        <v>0.09</v>
      </c>
      <c r="E378" s="29">
        <v>122.99</v>
      </c>
      <c r="F378" s="29">
        <v>70.2</v>
      </c>
      <c r="G378" s="30" t="s">
        <v>27</v>
      </c>
      <c r="H378" s="27" t="s">
        <v>94</v>
      </c>
      <c r="I378" s="27" t="s">
        <v>29</v>
      </c>
      <c r="J378" s="27" t="s">
        <v>109</v>
      </c>
      <c r="K378" s="27" t="s">
        <v>58</v>
      </c>
      <c r="L378" s="31" t="s">
        <v>804</v>
      </c>
      <c r="M378" s="32">
        <v>0.74</v>
      </c>
      <c r="N378" s="27" t="s">
        <v>33</v>
      </c>
      <c r="O378" s="27" t="s">
        <v>111</v>
      </c>
      <c r="P378" s="27" t="s">
        <v>633</v>
      </c>
      <c r="Q378" s="27" t="s">
        <v>928</v>
      </c>
      <c r="R378" s="33">
        <v>5401</v>
      </c>
      <c r="S378" s="34">
        <v>42037</v>
      </c>
      <c r="T378" s="34">
        <v>42039</v>
      </c>
      <c r="U378" s="29">
        <v>-2426.5500000000002</v>
      </c>
      <c r="V378" s="26">
        <v>12</v>
      </c>
      <c r="W378" s="29">
        <v>1400.53</v>
      </c>
      <c r="X378" s="26">
        <v>87947</v>
      </c>
      <c r="Y378" s="35">
        <v>122.89999999999999</v>
      </c>
      <c r="Z378" s="1" t="s">
        <v>3014</v>
      </c>
      <c r="AA378" s="36">
        <v>132.82919999999999</v>
      </c>
      <c r="AB378" s="54">
        <v>364.13780000000003</v>
      </c>
      <c r="AC378" s="54">
        <v>86.366016666666667</v>
      </c>
      <c r="AD378" s="36">
        <v>3624.0508</v>
      </c>
    </row>
    <row r="379" spans="1:30" s="37" customFormat="1" ht="15.75" customHeight="1" x14ac:dyDescent="0.2">
      <c r="A379" s="26">
        <v>397</v>
      </c>
      <c r="B379" s="27" t="s">
        <v>923</v>
      </c>
      <c r="C379" s="27" t="s">
        <v>26</v>
      </c>
      <c r="D379" s="28">
        <v>0.1</v>
      </c>
      <c r="E379" s="29">
        <v>154.13</v>
      </c>
      <c r="F379" s="29">
        <v>69</v>
      </c>
      <c r="G379" s="30" t="s">
        <v>39</v>
      </c>
      <c r="H379" s="27" t="s">
        <v>94</v>
      </c>
      <c r="I379" s="27" t="s">
        <v>29</v>
      </c>
      <c r="J379" s="27" t="s">
        <v>30</v>
      </c>
      <c r="K379" s="27" t="s">
        <v>65</v>
      </c>
      <c r="L379" s="31" t="s">
        <v>924</v>
      </c>
      <c r="M379" s="32">
        <v>0.68</v>
      </c>
      <c r="N379" s="27" t="s">
        <v>33</v>
      </c>
      <c r="O379" s="27" t="s">
        <v>111</v>
      </c>
      <c r="P379" s="27" t="s">
        <v>317</v>
      </c>
      <c r="Q379" s="27" t="s">
        <v>925</v>
      </c>
      <c r="R379" s="33">
        <v>44221</v>
      </c>
      <c r="S379" s="34">
        <v>42037</v>
      </c>
      <c r="T379" s="34">
        <v>42038</v>
      </c>
      <c r="U379" s="29">
        <v>-372.48597100000001</v>
      </c>
      <c r="V379" s="26">
        <v>8</v>
      </c>
      <c r="W379" s="29">
        <v>1216.32</v>
      </c>
      <c r="X379" s="26">
        <v>89319</v>
      </c>
      <c r="Y379" s="35">
        <v>122.89999999999999</v>
      </c>
      <c r="Z379" s="1" t="s">
        <v>3014</v>
      </c>
      <c r="AA379" s="36">
        <v>123.304</v>
      </c>
      <c r="AB379" s="54">
        <v>389.22239999999994</v>
      </c>
      <c r="AC379" s="54">
        <v>103.38720000000001</v>
      </c>
      <c r="AD379" s="36">
        <v>1396.5019709999999</v>
      </c>
    </row>
    <row r="380" spans="1:30" s="37" customFormat="1" ht="15.75" customHeight="1" x14ac:dyDescent="0.2">
      <c r="A380" s="26">
        <v>1413</v>
      </c>
      <c r="B380" s="27" t="s">
        <v>938</v>
      </c>
      <c r="C380" s="27" t="s">
        <v>3094</v>
      </c>
      <c r="D380" s="28">
        <v>0.02</v>
      </c>
      <c r="E380" s="29">
        <v>16.48</v>
      </c>
      <c r="F380" s="29">
        <v>1.99</v>
      </c>
      <c r="G380" s="30" t="s">
        <v>87</v>
      </c>
      <c r="H380" s="27" t="s">
        <v>94</v>
      </c>
      <c r="I380" s="27" t="s">
        <v>41</v>
      </c>
      <c r="J380" s="27" t="s">
        <v>42</v>
      </c>
      <c r="K380" s="27" t="s">
        <v>43</v>
      </c>
      <c r="L380" s="31" t="s">
        <v>601</v>
      </c>
      <c r="M380" s="32">
        <v>0.42</v>
      </c>
      <c r="N380" s="27" t="s">
        <v>33</v>
      </c>
      <c r="O380" s="27" t="s">
        <v>111</v>
      </c>
      <c r="P380" s="27" t="s">
        <v>403</v>
      </c>
      <c r="Q380" s="27" t="s">
        <v>788</v>
      </c>
      <c r="R380" s="33">
        <v>2113</v>
      </c>
      <c r="S380" s="34">
        <v>42037</v>
      </c>
      <c r="T380" s="34">
        <v>42039</v>
      </c>
      <c r="U380" s="29">
        <v>69.61</v>
      </c>
      <c r="V380" s="26">
        <v>27</v>
      </c>
      <c r="W380" s="29">
        <v>484.56</v>
      </c>
      <c r="X380" s="26">
        <v>45539</v>
      </c>
      <c r="Y380" s="35">
        <v>1.1199999999999999</v>
      </c>
      <c r="Z380" s="1" t="s">
        <v>3014</v>
      </c>
      <c r="AA380" s="36">
        <v>8.8992000000000004</v>
      </c>
      <c r="AB380" s="54">
        <v>281.04480000000001</v>
      </c>
      <c r="AC380" s="54">
        <v>7.5375999999999994</v>
      </c>
      <c r="AD380" s="36">
        <v>404.06079999999997</v>
      </c>
    </row>
    <row r="381" spans="1:30" s="37" customFormat="1" ht="15.75" customHeight="1" x14ac:dyDescent="0.2">
      <c r="A381" s="26">
        <v>2498</v>
      </c>
      <c r="B381" s="27" t="s">
        <v>929</v>
      </c>
      <c r="C381" s="27" t="s">
        <v>116</v>
      </c>
      <c r="D381" s="28">
        <v>0.09</v>
      </c>
      <c r="E381" s="29">
        <v>6.28</v>
      </c>
      <c r="F381" s="29">
        <v>5.41</v>
      </c>
      <c r="G381" s="30" t="s">
        <v>39</v>
      </c>
      <c r="H381" s="27" t="s">
        <v>3095</v>
      </c>
      <c r="I381" s="27" t="s">
        <v>29</v>
      </c>
      <c r="J381" s="27" t="s">
        <v>126</v>
      </c>
      <c r="K381" s="27" t="s">
        <v>73</v>
      </c>
      <c r="L381" s="31" t="s">
        <v>930</v>
      </c>
      <c r="M381" s="32">
        <v>0.53</v>
      </c>
      <c r="N381" s="27" t="s">
        <v>33</v>
      </c>
      <c r="O381" s="27" t="s">
        <v>60</v>
      </c>
      <c r="P381" s="27" t="s">
        <v>90</v>
      </c>
      <c r="Q381" s="27" t="s">
        <v>890</v>
      </c>
      <c r="R381" s="33">
        <v>92024</v>
      </c>
      <c r="S381" s="34">
        <v>42037</v>
      </c>
      <c r="T381" s="34">
        <v>42039</v>
      </c>
      <c r="U381" s="29">
        <v>-61.59</v>
      </c>
      <c r="V381" s="26">
        <v>56</v>
      </c>
      <c r="W381" s="29">
        <v>355.4</v>
      </c>
      <c r="X381" s="26">
        <v>54567</v>
      </c>
      <c r="Y381" s="35">
        <v>6.19</v>
      </c>
      <c r="Z381" s="1" t="s">
        <v>3013</v>
      </c>
      <c r="AA381" s="36">
        <v>31.651200000000003</v>
      </c>
      <c r="AB381" s="54">
        <v>167.03799999999998</v>
      </c>
      <c r="AC381" s="54">
        <v>3.3636071428571426</v>
      </c>
      <c r="AD381" s="36">
        <v>379.92879999999997</v>
      </c>
    </row>
    <row r="382" spans="1:30" s="37" customFormat="1" ht="15.75" customHeight="1" x14ac:dyDescent="0.2">
      <c r="A382" s="26">
        <v>2555</v>
      </c>
      <c r="B382" s="27" t="s">
        <v>355</v>
      </c>
      <c r="C382" s="27" t="s">
        <v>26</v>
      </c>
      <c r="D382" s="28">
        <v>0</v>
      </c>
      <c r="E382" s="29">
        <v>12.97</v>
      </c>
      <c r="F382" s="29">
        <v>1.49</v>
      </c>
      <c r="G382" s="30" t="s">
        <v>39</v>
      </c>
      <c r="H382" s="27" t="s">
        <v>71</v>
      </c>
      <c r="I382" s="27" t="s">
        <v>49</v>
      </c>
      <c r="J382" s="27" t="s">
        <v>72</v>
      </c>
      <c r="K382" s="27" t="s">
        <v>73</v>
      </c>
      <c r="L382" s="31" t="s">
        <v>926</v>
      </c>
      <c r="M382" s="32">
        <v>0.35</v>
      </c>
      <c r="N382" s="27" t="s">
        <v>33</v>
      </c>
      <c r="O382" s="27" t="s">
        <v>53</v>
      </c>
      <c r="P382" s="27" t="s">
        <v>357</v>
      </c>
      <c r="Q382" s="27" t="s">
        <v>358</v>
      </c>
      <c r="R382" s="33">
        <v>53711</v>
      </c>
      <c r="S382" s="34">
        <v>42037</v>
      </c>
      <c r="T382" s="34">
        <v>42038</v>
      </c>
      <c r="U382" s="29">
        <v>180.23490000000001</v>
      </c>
      <c r="V382" s="26">
        <v>19</v>
      </c>
      <c r="W382" s="29">
        <v>261.20999999999998</v>
      </c>
      <c r="X382" s="26">
        <v>86529</v>
      </c>
      <c r="Y382" s="35">
        <v>6.19</v>
      </c>
      <c r="Z382" s="1" t="s">
        <v>3012</v>
      </c>
      <c r="AA382" s="36">
        <v>0</v>
      </c>
      <c r="AB382" s="54">
        <v>169.78649999999999</v>
      </c>
      <c r="AC382" s="54">
        <v>4.8117631578947364</v>
      </c>
      <c r="AD382" s="36">
        <v>79.48509999999996</v>
      </c>
    </row>
    <row r="383" spans="1:30" s="37" customFormat="1" ht="15.75" customHeight="1" x14ac:dyDescent="0.2">
      <c r="A383" s="26">
        <v>84</v>
      </c>
      <c r="B383" s="27" t="s">
        <v>933</v>
      </c>
      <c r="C383" s="27" t="s">
        <v>3094</v>
      </c>
      <c r="D383" s="28">
        <v>0</v>
      </c>
      <c r="E383" s="29">
        <v>8.09</v>
      </c>
      <c r="F383" s="29">
        <v>7.96</v>
      </c>
      <c r="G383" s="30" t="s">
        <v>39</v>
      </c>
      <c r="H383" s="27" t="s">
        <v>40</v>
      </c>
      <c r="I383" s="27" t="s">
        <v>29</v>
      </c>
      <c r="J383" s="27" t="s">
        <v>126</v>
      </c>
      <c r="K383" s="27" t="s">
        <v>73</v>
      </c>
      <c r="L383" s="31" t="s">
        <v>522</v>
      </c>
      <c r="M383" s="32">
        <v>0.49</v>
      </c>
      <c r="N383" s="27" t="s">
        <v>33</v>
      </c>
      <c r="O383" s="27" t="s">
        <v>111</v>
      </c>
      <c r="P383" s="27" t="s">
        <v>317</v>
      </c>
      <c r="Q383" s="27" t="s">
        <v>934</v>
      </c>
      <c r="R383" s="33">
        <v>45231</v>
      </c>
      <c r="S383" s="34">
        <v>42037</v>
      </c>
      <c r="T383" s="34">
        <v>42038</v>
      </c>
      <c r="U383" s="29">
        <v>-144.56</v>
      </c>
      <c r="V383" s="26">
        <v>11</v>
      </c>
      <c r="W383" s="29">
        <v>90.98</v>
      </c>
      <c r="X383" s="26">
        <v>87364</v>
      </c>
      <c r="Y383" s="35">
        <v>8.09</v>
      </c>
      <c r="Z383" s="1" t="s">
        <v>3014</v>
      </c>
      <c r="AA383" s="36">
        <v>0</v>
      </c>
      <c r="AB383" s="54">
        <v>46.399800000000006</v>
      </c>
      <c r="AC383" s="54">
        <v>4.0527454545454544</v>
      </c>
      <c r="AD383" s="36">
        <v>227.57999999999998</v>
      </c>
    </row>
    <row r="384" spans="1:30" s="37" customFormat="1" ht="15.75" customHeight="1" x14ac:dyDescent="0.2">
      <c r="A384" s="26">
        <v>2500</v>
      </c>
      <c r="B384" s="27" t="s">
        <v>931</v>
      </c>
      <c r="C384" s="27" t="s">
        <v>116</v>
      </c>
      <c r="D384" s="28">
        <v>0.09</v>
      </c>
      <c r="E384" s="29">
        <v>6.28</v>
      </c>
      <c r="F384" s="29">
        <v>5.41</v>
      </c>
      <c r="G384" s="30" t="s">
        <v>39</v>
      </c>
      <c r="H384" s="27" t="s">
        <v>3095</v>
      </c>
      <c r="I384" s="27" t="s">
        <v>29</v>
      </c>
      <c r="J384" s="27" t="s">
        <v>126</v>
      </c>
      <c r="K384" s="27" t="s">
        <v>73</v>
      </c>
      <c r="L384" s="31" t="s">
        <v>930</v>
      </c>
      <c r="M384" s="32">
        <v>0.53</v>
      </c>
      <c r="N384" s="27" t="s">
        <v>33</v>
      </c>
      <c r="O384" s="27" t="s">
        <v>53</v>
      </c>
      <c r="P384" s="27" t="s">
        <v>103</v>
      </c>
      <c r="Q384" s="27" t="s">
        <v>932</v>
      </c>
      <c r="R384" s="33">
        <v>60102</v>
      </c>
      <c r="S384" s="34">
        <v>42037</v>
      </c>
      <c r="T384" s="34">
        <v>42039</v>
      </c>
      <c r="U384" s="29">
        <v>-32.026800000000001</v>
      </c>
      <c r="V384" s="26">
        <v>14</v>
      </c>
      <c r="W384" s="29">
        <v>88.85</v>
      </c>
      <c r="X384" s="26">
        <v>88320</v>
      </c>
      <c r="Y384" s="35">
        <v>3.3</v>
      </c>
      <c r="Z384" s="1" t="s">
        <v>3012</v>
      </c>
      <c r="AA384" s="36">
        <v>7.9128000000000007</v>
      </c>
      <c r="AB384" s="54">
        <v>41.759499999999996</v>
      </c>
      <c r="AC384" s="54">
        <v>3.3636071428571426</v>
      </c>
      <c r="AD384" s="36">
        <v>107.554</v>
      </c>
    </row>
    <row r="385" spans="1:30" s="37" customFormat="1" ht="15.75" customHeight="1" x14ac:dyDescent="0.2">
      <c r="A385" s="26">
        <v>894</v>
      </c>
      <c r="B385" s="27" t="s">
        <v>372</v>
      </c>
      <c r="C385" s="27" t="s">
        <v>48</v>
      </c>
      <c r="D385" s="28">
        <v>0.02</v>
      </c>
      <c r="E385" s="29">
        <v>1.1399999999999999</v>
      </c>
      <c r="F385" s="29">
        <v>0.7</v>
      </c>
      <c r="G385" s="30" t="s">
        <v>39</v>
      </c>
      <c r="H385" s="27" t="s">
        <v>94</v>
      </c>
      <c r="I385" s="27" t="s">
        <v>49</v>
      </c>
      <c r="J385" s="27" t="s">
        <v>176</v>
      </c>
      <c r="K385" s="27" t="s">
        <v>51</v>
      </c>
      <c r="L385" s="31" t="s">
        <v>824</v>
      </c>
      <c r="M385" s="32">
        <v>0.38</v>
      </c>
      <c r="N385" s="27" t="s">
        <v>33</v>
      </c>
      <c r="O385" s="27" t="s">
        <v>111</v>
      </c>
      <c r="P385" s="27" t="s">
        <v>374</v>
      </c>
      <c r="Q385" s="27" t="s">
        <v>67</v>
      </c>
      <c r="R385" s="33">
        <v>20024</v>
      </c>
      <c r="S385" s="34">
        <v>42037</v>
      </c>
      <c r="T385" s="34">
        <v>42037</v>
      </c>
      <c r="U385" s="29">
        <v>-0.49</v>
      </c>
      <c r="V385" s="26">
        <v>38</v>
      </c>
      <c r="W385" s="29">
        <v>44.85</v>
      </c>
      <c r="X385" s="26">
        <v>38529</v>
      </c>
      <c r="Y385" s="35">
        <v>16.46</v>
      </c>
      <c r="Z385" s="1" t="s">
        <v>3014</v>
      </c>
      <c r="AA385" s="36">
        <v>0.86639999999999995</v>
      </c>
      <c r="AB385" s="54">
        <v>27.807000000000002</v>
      </c>
      <c r="AC385" s="54">
        <v>0.44850000000000001</v>
      </c>
      <c r="AD385" s="36">
        <v>43.773600000000002</v>
      </c>
    </row>
    <row r="386" spans="1:30" s="37" customFormat="1" ht="15.75" customHeight="1" x14ac:dyDescent="0.2">
      <c r="A386" s="26">
        <v>2555</v>
      </c>
      <c r="B386" s="27" t="s">
        <v>355</v>
      </c>
      <c r="C386" s="27" t="s">
        <v>26</v>
      </c>
      <c r="D386" s="28">
        <v>0.06</v>
      </c>
      <c r="E386" s="29">
        <v>4.91</v>
      </c>
      <c r="F386" s="29">
        <v>0.5</v>
      </c>
      <c r="G386" s="30" t="s">
        <v>39</v>
      </c>
      <c r="H386" s="27" t="s">
        <v>71</v>
      </c>
      <c r="I386" s="27" t="s">
        <v>49</v>
      </c>
      <c r="J386" s="27" t="s">
        <v>152</v>
      </c>
      <c r="K386" s="27" t="s">
        <v>73</v>
      </c>
      <c r="L386" s="31" t="s">
        <v>577</v>
      </c>
      <c r="M386" s="32">
        <v>0.36</v>
      </c>
      <c r="N386" s="27" t="s">
        <v>33</v>
      </c>
      <c r="O386" s="27" t="s">
        <v>53</v>
      </c>
      <c r="P386" s="27" t="s">
        <v>357</v>
      </c>
      <c r="Q386" s="27" t="s">
        <v>358</v>
      </c>
      <c r="R386" s="33">
        <v>53711</v>
      </c>
      <c r="S386" s="34">
        <v>42037</v>
      </c>
      <c r="T386" s="34">
        <v>42037</v>
      </c>
      <c r="U386" s="29">
        <v>29.525099999999998</v>
      </c>
      <c r="V386" s="26">
        <v>9</v>
      </c>
      <c r="W386" s="29">
        <v>42.79</v>
      </c>
      <c r="X386" s="26">
        <v>86529</v>
      </c>
      <c r="Y386" s="35">
        <v>200.94</v>
      </c>
      <c r="Z386" s="1" t="s">
        <v>3012</v>
      </c>
      <c r="AA386" s="36">
        <v>2.6513999999999998</v>
      </c>
      <c r="AB386" s="54">
        <v>27.3856</v>
      </c>
      <c r="AC386" s="54">
        <v>1.7115999999999998</v>
      </c>
      <c r="AD386" s="36">
        <v>10.113500000000002</v>
      </c>
    </row>
    <row r="387" spans="1:30" s="37" customFormat="1" ht="15.75" customHeight="1" x14ac:dyDescent="0.2">
      <c r="A387" s="26">
        <v>1412</v>
      </c>
      <c r="B387" s="27" t="s">
        <v>935</v>
      </c>
      <c r="C387" s="27" t="s">
        <v>3094</v>
      </c>
      <c r="D387" s="28">
        <v>0.08</v>
      </c>
      <c r="E387" s="29">
        <v>3.38</v>
      </c>
      <c r="F387" s="29">
        <v>0.85</v>
      </c>
      <c r="G387" s="30" t="s">
        <v>39</v>
      </c>
      <c r="H387" s="27" t="s">
        <v>94</v>
      </c>
      <c r="I387" s="27" t="s">
        <v>49</v>
      </c>
      <c r="J387" s="27" t="s">
        <v>50</v>
      </c>
      <c r="K387" s="27" t="s">
        <v>51</v>
      </c>
      <c r="L387" s="31" t="s">
        <v>936</v>
      </c>
      <c r="M387" s="32">
        <v>0.48</v>
      </c>
      <c r="N387" s="27" t="s">
        <v>33</v>
      </c>
      <c r="O387" s="27" t="s">
        <v>60</v>
      </c>
      <c r="P387" s="27" t="s">
        <v>90</v>
      </c>
      <c r="Q387" s="27" t="s">
        <v>937</v>
      </c>
      <c r="R387" s="33">
        <v>94043</v>
      </c>
      <c r="S387" s="34">
        <v>42037</v>
      </c>
      <c r="T387" s="34">
        <v>42039</v>
      </c>
      <c r="U387" s="29">
        <v>20.453600000000002</v>
      </c>
      <c r="V387" s="26">
        <v>12</v>
      </c>
      <c r="W387" s="29">
        <v>38.81</v>
      </c>
      <c r="X387" s="26">
        <v>87087</v>
      </c>
      <c r="Y387" s="35">
        <v>200.94</v>
      </c>
      <c r="Z387" s="1" t="s">
        <v>3013</v>
      </c>
      <c r="AA387" s="36">
        <v>3.2447999999999997</v>
      </c>
      <c r="AB387" s="54">
        <v>20.1812</v>
      </c>
      <c r="AC387" s="54">
        <v>1.5524</v>
      </c>
      <c r="AD387" s="36">
        <v>14.261600000000001</v>
      </c>
    </row>
    <row r="388" spans="1:30" s="37" customFormat="1" ht="15.75" customHeight="1" x14ac:dyDescent="0.2">
      <c r="A388" s="26">
        <v>2486</v>
      </c>
      <c r="B388" s="27" t="s">
        <v>944</v>
      </c>
      <c r="C388" s="27" t="s">
        <v>48</v>
      </c>
      <c r="D388" s="28">
        <v>0</v>
      </c>
      <c r="E388" s="29">
        <v>180.98</v>
      </c>
      <c r="F388" s="29">
        <v>30</v>
      </c>
      <c r="G388" s="30" t="s">
        <v>27</v>
      </c>
      <c r="H388" s="27" t="s">
        <v>3095</v>
      </c>
      <c r="I388" s="27" t="s">
        <v>29</v>
      </c>
      <c r="J388" s="27" t="s">
        <v>109</v>
      </c>
      <c r="K388" s="27" t="s">
        <v>58</v>
      </c>
      <c r="L388" s="31" t="s">
        <v>945</v>
      </c>
      <c r="M388" s="32">
        <v>0.69</v>
      </c>
      <c r="N388" s="27" t="s">
        <v>33</v>
      </c>
      <c r="O388" s="27" t="s">
        <v>34</v>
      </c>
      <c r="P388" s="27" t="s">
        <v>75</v>
      </c>
      <c r="Q388" s="27" t="s">
        <v>946</v>
      </c>
      <c r="R388" s="33">
        <v>30458</v>
      </c>
      <c r="S388" s="34">
        <v>42038</v>
      </c>
      <c r="T388" s="34">
        <v>42040</v>
      </c>
      <c r="U388" s="29">
        <v>9.2040000000000006</v>
      </c>
      <c r="V388" s="26">
        <v>11</v>
      </c>
      <c r="W388" s="29">
        <v>2084.16</v>
      </c>
      <c r="X388" s="26">
        <v>91416</v>
      </c>
      <c r="Y388" s="35">
        <v>180.98</v>
      </c>
      <c r="Z388" s="1" t="s">
        <v>3011</v>
      </c>
      <c r="AA388" s="36">
        <v>0</v>
      </c>
      <c r="AB388" s="54">
        <v>646.08960000000002</v>
      </c>
      <c r="AC388" s="54">
        <v>130.7336727272727</v>
      </c>
      <c r="AD388" s="36">
        <v>2044.9559999999999</v>
      </c>
    </row>
    <row r="389" spans="1:30" s="37" customFormat="1" ht="15.75" customHeight="1" x14ac:dyDescent="0.2">
      <c r="A389" s="26">
        <v>3053</v>
      </c>
      <c r="B389" s="27" t="s">
        <v>947</v>
      </c>
      <c r="C389" s="27" t="s">
        <v>116</v>
      </c>
      <c r="D389" s="28">
        <v>0.06</v>
      </c>
      <c r="E389" s="29">
        <v>125.99</v>
      </c>
      <c r="F389" s="29">
        <v>2.5</v>
      </c>
      <c r="G389" s="30" t="s">
        <v>39</v>
      </c>
      <c r="H389" s="27" t="s">
        <v>94</v>
      </c>
      <c r="I389" s="27" t="s">
        <v>41</v>
      </c>
      <c r="J389" s="27" t="s">
        <v>135</v>
      </c>
      <c r="K389" s="27" t="s">
        <v>73</v>
      </c>
      <c r="L389" s="31" t="s">
        <v>948</v>
      </c>
      <c r="M389" s="32">
        <v>0.6</v>
      </c>
      <c r="N389" s="27" t="s">
        <v>33</v>
      </c>
      <c r="O389" s="27" t="s">
        <v>34</v>
      </c>
      <c r="P389" s="27" t="s">
        <v>388</v>
      </c>
      <c r="Q389" s="27" t="s">
        <v>949</v>
      </c>
      <c r="R389" s="33">
        <v>42071</v>
      </c>
      <c r="S389" s="34">
        <v>42038</v>
      </c>
      <c r="T389" s="34">
        <v>42040</v>
      </c>
      <c r="U389" s="29">
        <v>402.06599999999997</v>
      </c>
      <c r="V389" s="26">
        <v>11</v>
      </c>
      <c r="W389" s="29">
        <v>1173.76</v>
      </c>
      <c r="X389" s="26">
        <v>86662</v>
      </c>
      <c r="Y389" s="35">
        <v>125.92999999999999</v>
      </c>
      <c r="Z389" s="1" t="s">
        <v>3011</v>
      </c>
      <c r="AA389" s="36">
        <v>83.153399999999991</v>
      </c>
      <c r="AB389" s="54">
        <v>469.50400000000002</v>
      </c>
      <c r="AC389" s="54">
        <v>64.023272727272726</v>
      </c>
      <c r="AD389" s="36">
        <v>686.04060000000004</v>
      </c>
    </row>
    <row r="390" spans="1:30" s="37" customFormat="1" ht="15.75" customHeight="1" x14ac:dyDescent="0.2">
      <c r="A390" s="26">
        <v>603</v>
      </c>
      <c r="B390" s="27" t="s">
        <v>950</v>
      </c>
      <c r="C390" s="27" t="s">
        <v>3094</v>
      </c>
      <c r="D390" s="28">
        <v>0.02</v>
      </c>
      <c r="E390" s="29">
        <v>35.99</v>
      </c>
      <c r="F390" s="29">
        <v>5</v>
      </c>
      <c r="G390" s="30" t="s">
        <v>39</v>
      </c>
      <c r="H390" s="27" t="s">
        <v>71</v>
      </c>
      <c r="I390" s="27" t="s">
        <v>41</v>
      </c>
      <c r="J390" s="27" t="s">
        <v>135</v>
      </c>
      <c r="K390" s="27" t="s">
        <v>73</v>
      </c>
      <c r="L390" s="31" t="s">
        <v>951</v>
      </c>
      <c r="M390" s="32">
        <v>0.85</v>
      </c>
      <c r="N390" s="27" t="s">
        <v>33</v>
      </c>
      <c r="O390" s="27" t="s">
        <v>60</v>
      </c>
      <c r="P390" s="27" t="s">
        <v>61</v>
      </c>
      <c r="Q390" s="27" t="s">
        <v>952</v>
      </c>
      <c r="R390" s="33">
        <v>81001</v>
      </c>
      <c r="S390" s="34">
        <v>42038</v>
      </c>
      <c r="T390" s="34">
        <v>42040</v>
      </c>
      <c r="U390" s="29">
        <v>-120.934</v>
      </c>
      <c r="V390" s="26">
        <v>7</v>
      </c>
      <c r="W390" s="29">
        <v>227.79</v>
      </c>
      <c r="X390" s="26">
        <v>87020</v>
      </c>
      <c r="Y390" s="35">
        <v>35.97</v>
      </c>
      <c r="Z390" s="1" t="s">
        <v>3013</v>
      </c>
      <c r="AA390" s="36">
        <v>5.0386000000000006</v>
      </c>
      <c r="AB390" s="54">
        <v>34.168500000000002</v>
      </c>
      <c r="AC390" s="54">
        <v>27.660214285714282</v>
      </c>
      <c r="AD390" s="36">
        <v>338.68539999999996</v>
      </c>
    </row>
    <row r="391" spans="1:30" s="37" customFormat="1" ht="15.75" customHeight="1" x14ac:dyDescent="0.2">
      <c r="A391" s="26">
        <v>3151</v>
      </c>
      <c r="B391" s="27" t="s">
        <v>953</v>
      </c>
      <c r="C391" s="27" t="s">
        <v>26</v>
      </c>
      <c r="D391" s="28">
        <v>0.01</v>
      </c>
      <c r="E391" s="29">
        <v>3502.14</v>
      </c>
      <c r="F391" s="29">
        <v>8.73</v>
      </c>
      <c r="G391" s="30" t="s">
        <v>27</v>
      </c>
      <c r="H391" s="27" t="s">
        <v>94</v>
      </c>
      <c r="I391" s="27" t="s">
        <v>41</v>
      </c>
      <c r="J391" s="27" t="s">
        <v>57</v>
      </c>
      <c r="K391" s="27" t="s">
        <v>31</v>
      </c>
      <c r="L391" s="31" t="s">
        <v>841</v>
      </c>
      <c r="M391" s="32">
        <v>0.56999999999999995</v>
      </c>
      <c r="N391" s="27" t="s">
        <v>33</v>
      </c>
      <c r="O391" s="27" t="s">
        <v>60</v>
      </c>
      <c r="P391" s="27" t="s">
        <v>90</v>
      </c>
      <c r="Q391" s="27" t="s">
        <v>954</v>
      </c>
      <c r="R391" s="33">
        <v>92277</v>
      </c>
      <c r="S391" s="34">
        <v>42039</v>
      </c>
      <c r="T391" s="34">
        <v>42040</v>
      </c>
      <c r="U391" s="29">
        <v>-4075.9339920000002</v>
      </c>
      <c r="V391" s="26">
        <v>1</v>
      </c>
      <c r="W391" s="29">
        <v>3501.79</v>
      </c>
      <c r="X391" s="26">
        <v>88544</v>
      </c>
      <c r="Y391" s="35">
        <v>3502.1299999999997</v>
      </c>
      <c r="Z391" s="1" t="s">
        <v>3013</v>
      </c>
      <c r="AA391" s="36">
        <v>35.0214</v>
      </c>
      <c r="AB391" s="54">
        <v>1505.7697000000001</v>
      </c>
      <c r="AC391" s="54">
        <v>1996.0202999999999</v>
      </c>
      <c r="AD391" s="36">
        <v>7533.9725920000001</v>
      </c>
    </row>
    <row r="392" spans="1:30" s="37" customFormat="1" ht="15.75" customHeight="1" x14ac:dyDescent="0.2">
      <c r="A392" s="26">
        <v>1499</v>
      </c>
      <c r="B392" s="27" t="s">
        <v>969</v>
      </c>
      <c r="C392" s="27" t="s">
        <v>116</v>
      </c>
      <c r="D392" s="28">
        <v>0.08</v>
      </c>
      <c r="E392" s="29">
        <v>146.05000000000001</v>
      </c>
      <c r="F392" s="29">
        <v>80.2</v>
      </c>
      <c r="G392" s="30" t="s">
        <v>27</v>
      </c>
      <c r="H392" s="27" t="s">
        <v>71</v>
      </c>
      <c r="I392" s="27" t="s">
        <v>29</v>
      </c>
      <c r="J392" s="27" t="s">
        <v>30</v>
      </c>
      <c r="K392" s="27" t="s">
        <v>31</v>
      </c>
      <c r="L392" s="31" t="s">
        <v>971</v>
      </c>
      <c r="M392" s="32">
        <v>0.71</v>
      </c>
      <c r="N392" s="27" t="s">
        <v>33</v>
      </c>
      <c r="O392" s="27" t="s">
        <v>34</v>
      </c>
      <c r="P392" s="27" t="s">
        <v>123</v>
      </c>
      <c r="Q392" s="27" t="s">
        <v>970</v>
      </c>
      <c r="R392" s="33">
        <v>33134</v>
      </c>
      <c r="S392" s="34">
        <v>42039</v>
      </c>
      <c r="T392" s="34">
        <v>42040</v>
      </c>
      <c r="U392" s="29">
        <v>-27.951000000000001</v>
      </c>
      <c r="V392" s="26">
        <v>11</v>
      </c>
      <c r="W392" s="29">
        <v>1557.66</v>
      </c>
      <c r="X392" s="26">
        <v>90731</v>
      </c>
      <c r="Y392" s="35">
        <v>15.67</v>
      </c>
      <c r="Z392" s="1" t="s">
        <v>3011</v>
      </c>
      <c r="AA392" s="36">
        <v>128.524</v>
      </c>
      <c r="AB392" s="54">
        <v>451.72140000000007</v>
      </c>
      <c r="AC392" s="54">
        <v>100.53987272727274</v>
      </c>
      <c r="AD392" s="36">
        <v>1376.8870000000002</v>
      </c>
    </row>
    <row r="393" spans="1:30" s="37" customFormat="1" ht="15.75" customHeight="1" x14ac:dyDescent="0.2">
      <c r="A393" s="26">
        <v>2290</v>
      </c>
      <c r="B393" s="27" t="s">
        <v>279</v>
      </c>
      <c r="C393" s="27" t="s">
        <v>116</v>
      </c>
      <c r="D393" s="28">
        <v>7.0000000000000007E-2</v>
      </c>
      <c r="E393" s="29">
        <v>80.98</v>
      </c>
      <c r="F393" s="29">
        <v>7.18</v>
      </c>
      <c r="G393" s="30" t="s">
        <v>39</v>
      </c>
      <c r="H393" s="27" t="s">
        <v>94</v>
      </c>
      <c r="I393" s="27" t="s">
        <v>41</v>
      </c>
      <c r="J393" s="27" t="s">
        <v>42</v>
      </c>
      <c r="K393" s="27" t="s">
        <v>73</v>
      </c>
      <c r="L393" s="31" t="s">
        <v>977</v>
      </c>
      <c r="M393" s="32">
        <v>0.48</v>
      </c>
      <c r="N393" s="27" t="s">
        <v>33</v>
      </c>
      <c r="O393" s="27" t="s">
        <v>53</v>
      </c>
      <c r="P393" s="27" t="s">
        <v>84</v>
      </c>
      <c r="Q393" s="27" t="s">
        <v>281</v>
      </c>
      <c r="R393" s="33">
        <v>55433</v>
      </c>
      <c r="S393" s="34">
        <v>42039</v>
      </c>
      <c r="T393" s="34">
        <v>42041</v>
      </c>
      <c r="U393" s="29">
        <v>779.47230000000002</v>
      </c>
      <c r="V393" s="26">
        <v>15</v>
      </c>
      <c r="W393" s="29">
        <v>1129.67</v>
      </c>
      <c r="X393" s="26">
        <v>88164</v>
      </c>
      <c r="Y393" s="35">
        <v>10.790000000000001</v>
      </c>
      <c r="Z393" s="1" t="s">
        <v>3012</v>
      </c>
      <c r="AA393" s="36">
        <v>85.029000000000011</v>
      </c>
      <c r="AB393" s="54">
        <v>587.42840000000001</v>
      </c>
      <c r="AC393" s="54">
        <v>36.149439999999998</v>
      </c>
      <c r="AD393" s="36">
        <v>257.98870000000011</v>
      </c>
    </row>
    <row r="394" spans="1:30" s="37" customFormat="1" ht="15.75" customHeight="1" x14ac:dyDescent="0.2">
      <c r="A394" s="26">
        <v>2203</v>
      </c>
      <c r="B394" s="27" t="s">
        <v>182</v>
      </c>
      <c r="C394" s="27" t="s">
        <v>48</v>
      </c>
      <c r="D394" s="28">
        <v>0.08</v>
      </c>
      <c r="E394" s="29">
        <v>145.44999999999999</v>
      </c>
      <c r="F394" s="29">
        <v>17.850000000000001</v>
      </c>
      <c r="G394" s="30" t="s">
        <v>27</v>
      </c>
      <c r="H394" s="27" t="s">
        <v>71</v>
      </c>
      <c r="I394" s="27" t="s">
        <v>41</v>
      </c>
      <c r="J394" s="27" t="s">
        <v>57</v>
      </c>
      <c r="K394" s="27" t="s">
        <v>58</v>
      </c>
      <c r="L394" s="31" t="s">
        <v>210</v>
      </c>
      <c r="M394" s="32">
        <v>0.56000000000000005</v>
      </c>
      <c r="N394" s="27" t="s">
        <v>33</v>
      </c>
      <c r="O394" s="27" t="s">
        <v>53</v>
      </c>
      <c r="P394" s="27" t="s">
        <v>84</v>
      </c>
      <c r="Q394" s="27" t="s">
        <v>184</v>
      </c>
      <c r="R394" s="33">
        <v>55445</v>
      </c>
      <c r="S394" s="34">
        <v>42039</v>
      </c>
      <c r="T394" s="34">
        <v>42039</v>
      </c>
      <c r="U394" s="29">
        <v>751.58</v>
      </c>
      <c r="V394" s="26">
        <v>8</v>
      </c>
      <c r="W394" s="29">
        <v>1117.6600000000001</v>
      </c>
      <c r="X394" s="26">
        <v>86051</v>
      </c>
      <c r="Y394" s="35">
        <v>2.91</v>
      </c>
      <c r="Z394" s="1" t="s">
        <v>3012</v>
      </c>
      <c r="AA394" s="36">
        <v>93.087999999999994</v>
      </c>
      <c r="AB394" s="54">
        <v>491.7704</v>
      </c>
      <c r="AC394" s="54">
        <v>78.236200000000011</v>
      </c>
      <c r="AD394" s="36">
        <v>255.14200000000005</v>
      </c>
    </row>
    <row r="395" spans="1:30" s="37" customFormat="1" ht="15.75" customHeight="1" x14ac:dyDescent="0.2">
      <c r="A395" s="26">
        <v>1213</v>
      </c>
      <c r="B395" s="27" t="s">
        <v>519</v>
      </c>
      <c r="C395" s="27" t="s">
        <v>48</v>
      </c>
      <c r="D395" s="28">
        <v>7.0000000000000007E-2</v>
      </c>
      <c r="E395" s="29">
        <v>29.89</v>
      </c>
      <c r="F395" s="29">
        <v>1.99</v>
      </c>
      <c r="G395" s="30" t="s">
        <v>87</v>
      </c>
      <c r="H395" s="27" t="s">
        <v>94</v>
      </c>
      <c r="I395" s="27" t="s">
        <v>41</v>
      </c>
      <c r="J395" s="27" t="s">
        <v>42</v>
      </c>
      <c r="K395" s="27" t="s">
        <v>43</v>
      </c>
      <c r="L395" s="31" t="s">
        <v>443</v>
      </c>
      <c r="M395" s="32">
        <v>0.5</v>
      </c>
      <c r="N395" s="27" t="s">
        <v>33</v>
      </c>
      <c r="O395" s="27" t="s">
        <v>53</v>
      </c>
      <c r="P395" s="27" t="s">
        <v>54</v>
      </c>
      <c r="Q395" s="27" t="s">
        <v>520</v>
      </c>
      <c r="R395" s="33">
        <v>46530</v>
      </c>
      <c r="S395" s="34">
        <v>42039</v>
      </c>
      <c r="T395" s="34">
        <v>42044</v>
      </c>
      <c r="U395" s="29">
        <v>258.6189</v>
      </c>
      <c r="V395" s="26">
        <v>13</v>
      </c>
      <c r="W395" s="29">
        <v>374.81</v>
      </c>
      <c r="X395" s="26">
        <v>88599</v>
      </c>
      <c r="Y395" s="35">
        <v>2.91</v>
      </c>
      <c r="Z395" s="1" t="s">
        <v>3012</v>
      </c>
      <c r="AA395" s="36">
        <v>27.199900000000003</v>
      </c>
      <c r="AB395" s="54">
        <v>187.405</v>
      </c>
      <c r="AC395" s="54">
        <v>14.41576923076923</v>
      </c>
      <c r="AD395" s="36">
        <v>87.001199999999983</v>
      </c>
    </row>
    <row r="396" spans="1:30" s="37" customFormat="1" ht="15.75" customHeight="1" x14ac:dyDescent="0.2">
      <c r="A396" s="26">
        <v>3351</v>
      </c>
      <c r="B396" s="27" t="s">
        <v>956</v>
      </c>
      <c r="C396" s="27" t="s">
        <v>26</v>
      </c>
      <c r="D396" s="28">
        <v>0.1</v>
      </c>
      <c r="E396" s="29">
        <v>10.89</v>
      </c>
      <c r="F396" s="29">
        <v>4.5</v>
      </c>
      <c r="G396" s="30" t="s">
        <v>39</v>
      </c>
      <c r="H396" s="27" t="s">
        <v>3095</v>
      </c>
      <c r="I396" s="27" t="s">
        <v>49</v>
      </c>
      <c r="J396" s="27" t="s">
        <v>95</v>
      </c>
      <c r="K396" s="27" t="s">
        <v>73</v>
      </c>
      <c r="L396" s="31" t="s">
        <v>773</v>
      </c>
      <c r="M396" s="32">
        <v>0.59</v>
      </c>
      <c r="N396" s="27" t="s">
        <v>33</v>
      </c>
      <c r="O396" s="27" t="s">
        <v>60</v>
      </c>
      <c r="P396" s="27" t="s">
        <v>67</v>
      </c>
      <c r="Q396" s="27" t="s">
        <v>957</v>
      </c>
      <c r="R396" s="33">
        <v>99301</v>
      </c>
      <c r="S396" s="34">
        <v>42039</v>
      </c>
      <c r="T396" s="34">
        <v>42041</v>
      </c>
      <c r="U396" s="29">
        <v>-19.2972</v>
      </c>
      <c r="V396" s="26">
        <v>17</v>
      </c>
      <c r="W396" s="29">
        <v>178.68</v>
      </c>
      <c r="X396" s="26">
        <v>91297</v>
      </c>
      <c r="Y396" s="35">
        <v>29.82</v>
      </c>
      <c r="Z396" s="1" t="s">
        <v>3013</v>
      </c>
      <c r="AA396" s="36">
        <v>18.513000000000002</v>
      </c>
      <c r="AB396" s="54">
        <v>73.258800000000008</v>
      </c>
      <c r="AC396" s="54">
        <v>6.2012470588235296</v>
      </c>
      <c r="AD396" s="36">
        <v>174.96420000000001</v>
      </c>
    </row>
    <row r="397" spans="1:30" s="37" customFormat="1" ht="15.75" customHeight="1" x14ac:dyDescent="0.2">
      <c r="A397" s="26">
        <v>3042</v>
      </c>
      <c r="B397" s="27" t="s">
        <v>978</v>
      </c>
      <c r="C397" s="27" t="s">
        <v>116</v>
      </c>
      <c r="D397" s="28">
        <v>7.0000000000000007E-2</v>
      </c>
      <c r="E397" s="29">
        <v>14.48</v>
      </c>
      <c r="F397" s="29">
        <v>6.46</v>
      </c>
      <c r="G397" s="30" t="s">
        <v>39</v>
      </c>
      <c r="H397" s="27" t="s">
        <v>3095</v>
      </c>
      <c r="I397" s="27" t="s">
        <v>49</v>
      </c>
      <c r="J397" s="27" t="s">
        <v>72</v>
      </c>
      <c r="K397" s="27" t="s">
        <v>73</v>
      </c>
      <c r="L397" s="31" t="s">
        <v>979</v>
      </c>
      <c r="M397" s="32">
        <v>0.38</v>
      </c>
      <c r="N397" s="27" t="s">
        <v>33</v>
      </c>
      <c r="O397" s="27" t="s">
        <v>53</v>
      </c>
      <c r="P397" s="27" t="s">
        <v>537</v>
      </c>
      <c r="Q397" s="27" t="s">
        <v>980</v>
      </c>
      <c r="R397" s="33">
        <v>67501</v>
      </c>
      <c r="S397" s="34">
        <v>42039</v>
      </c>
      <c r="T397" s="34">
        <v>42040</v>
      </c>
      <c r="U397" s="29">
        <v>67.864000000000004</v>
      </c>
      <c r="V397" s="26">
        <v>12</v>
      </c>
      <c r="W397" s="29">
        <v>171.33</v>
      </c>
      <c r="X397" s="26">
        <v>86101</v>
      </c>
      <c r="Y397" s="35">
        <v>8.31</v>
      </c>
      <c r="Z397" s="1" t="s">
        <v>3012</v>
      </c>
      <c r="AA397" s="36">
        <v>12.1632</v>
      </c>
      <c r="AB397" s="54">
        <v>106.22460000000001</v>
      </c>
      <c r="AC397" s="54">
        <v>5.4254500000000005</v>
      </c>
      <c r="AD397" s="36">
        <v>84.842800000000011</v>
      </c>
    </row>
    <row r="398" spans="1:30" s="37" customFormat="1" ht="15.75" customHeight="1" x14ac:dyDescent="0.2">
      <c r="A398" s="26">
        <v>2204</v>
      </c>
      <c r="B398" s="27" t="s">
        <v>962</v>
      </c>
      <c r="C398" s="27" t="s">
        <v>48</v>
      </c>
      <c r="D398" s="28">
        <v>7.0000000000000007E-2</v>
      </c>
      <c r="E398" s="29">
        <v>33.94</v>
      </c>
      <c r="F398" s="29">
        <v>19.190000000000001</v>
      </c>
      <c r="G398" s="30" t="s">
        <v>27</v>
      </c>
      <c r="H398" s="27" t="s">
        <v>71</v>
      </c>
      <c r="I398" s="27" t="s">
        <v>29</v>
      </c>
      <c r="J398" s="27" t="s">
        <v>109</v>
      </c>
      <c r="K398" s="27" t="s">
        <v>58</v>
      </c>
      <c r="L398" s="31" t="s">
        <v>202</v>
      </c>
      <c r="M398" s="32">
        <v>0.57999999999999996</v>
      </c>
      <c r="N398" s="27" t="s">
        <v>33</v>
      </c>
      <c r="O398" s="27" t="s">
        <v>53</v>
      </c>
      <c r="P398" s="27" t="s">
        <v>84</v>
      </c>
      <c r="Q398" s="27" t="s">
        <v>963</v>
      </c>
      <c r="R398" s="33">
        <v>55337</v>
      </c>
      <c r="S398" s="34">
        <v>42039</v>
      </c>
      <c r="T398" s="34">
        <v>42043</v>
      </c>
      <c r="U398" s="29">
        <v>-157.56</v>
      </c>
      <c r="V398" s="26">
        <v>5</v>
      </c>
      <c r="W398" s="29">
        <v>169.46</v>
      </c>
      <c r="X398" s="26">
        <v>86051</v>
      </c>
      <c r="Y398" s="35">
        <v>145.36999999999998</v>
      </c>
      <c r="Z398" s="1" t="s">
        <v>3012</v>
      </c>
      <c r="AA398" s="36">
        <v>11.879</v>
      </c>
      <c r="AB398" s="54">
        <v>71.173200000000008</v>
      </c>
      <c r="AC398" s="54">
        <v>19.657360000000001</v>
      </c>
      <c r="AD398" s="36">
        <v>295.95100000000002</v>
      </c>
    </row>
    <row r="399" spans="1:30" s="37" customFormat="1" ht="15.75" customHeight="1" x14ac:dyDescent="0.2">
      <c r="A399" s="26">
        <v>2947</v>
      </c>
      <c r="B399" s="27" t="s">
        <v>983</v>
      </c>
      <c r="C399" s="27" t="s">
        <v>3094</v>
      </c>
      <c r="D399" s="28">
        <v>0.01</v>
      </c>
      <c r="E399" s="29">
        <v>7.64</v>
      </c>
      <c r="F399" s="29">
        <v>1.39</v>
      </c>
      <c r="G399" s="30" t="s">
        <v>39</v>
      </c>
      <c r="H399" s="27" t="s">
        <v>40</v>
      </c>
      <c r="I399" s="27" t="s">
        <v>49</v>
      </c>
      <c r="J399" s="27" t="s">
        <v>345</v>
      </c>
      <c r="K399" s="27" t="s">
        <v>73</v>
      </c>
      <c r="L399" s="31" t="s">
        <v>608</v>
      </c>
      <c r="M399" s="32">
        <v>0.36</v>
      </c>
      <c r="N399" s="27" t="s">
        <v>33</v>
      </c>
      <c r="O399" s="27" t="s">
        <v>111</v>
      </c>
      <c r="P399" s="27" t="s">
        <v>112</v>
      </c>
      <c r="Q399" s="27" t="s">
        <v>984</v>
      </c>
      <c r="R399" s="33">
        <v>14043</v>
      </c>
      <c r="S399" s="34">
        <v>42039</v>
      </c>
      <c r="T399" s="34">
        <v>42042</v>
      </c>
      <c r="U399" s="29">
        <v>112.1181</v>
      </c>
      <c r="V399" s="26">
        <v>20</v>
      </c>
      <c r="W399" s="29">
        <v>162.49</v>
      </c>
      <c r="X399" s="26">
        <v>87511</v>
      </c>
      <c r="Y399" s="35">
        <v>33.869999999999997</v>
      </c>
      <c r="Z399" s="1" t="s">
        <v>3014</v>
      </c>
      <c r="AA399" s="36">
        <v>1.528</v>
      </c>
      <c r="AB399" s="54">
        <v>103.99360000000001</v>
      </c>
      <c r="AC399" s="54">
        <v>2.9248200000000004</v>
      </c>
      <c r="AD399" s="36">
        <v>47.453900000000004</v>
      </c>
    </row>
    <row r="400" spans="1:30" s="37" customFormat="1" ht="15.75" customHeight="1" x14ac:dyDescent="0.2">
      <c r="A400" s="26">
        <v>1776</v>
      </c>
      <c r="B400" s="27" t="s">
        <v>981</v>
      </c>
      <c r="C400" s="27" t="s">
        <v>3094</v>
      </c>
      <c r="D400" s="28">
        <v>0.08</v>
      </c>
      <c r="E400" s="29">
        <v>5.78</v>
      </c>
      <c r="F400" s="29">
        <v>5.67</v>
      </c>
      <c r="G400" s="30" t="s">
        <v>39</v>
      </c>
      <c r="H400" s="27" t="s">
        <v>40</v>
      </c>
      <c r="I400" s="27" t="s">
        <v>49</v>
      </c>
      <c r="J400" s="27" t="s">
        <v>88</v>
      </c>
      <c r="K400" s="27" t="s">
        <v>73</v>
      </c>
      <c r="L400" s="31" t="s">
        <v>615</v>
      </c>
      <c r="M400" s="32">
        <v>0.36</v>
      </c>
      <c r="N400" s="27" t="s">
        <v>33</v>
      </c>
      <c r="O400" s="27" t="s">
        <v>53</v>
      </c>
      <c r="P400" s="27" t="s">
        <v>54</v>
      </c>
      <c r="Q400" s="27" t="s">
        <v>982</v>
      </c>
      <c r="R400" s="33">
        <v>47802</v>
      </c>
      <c r="S400" s="34">
        <v>42039</v>
      </c>
      <c r="T400" s="34">
        <v>42040</v>
      </c>
      <c r="U400" s="29">
        <v>-53.898000000000003</v>
      </c>
      <c r="V400" s="26">
        <v>19</v>
      </c>
      <c r="W400" s="29">
        <v>106.57</v>
      </c>
      <c r="X400" s="26">
        <v>89941</v>
      </c>
      <c r="Y400" s="35">
        <v>1.63</v>
      </c>
      <c r="Z400" s="1" t="s">
        <v>3012</v>
      </c>
      <c r="AA400" s="36">
        <v>8.7856000000000005</v>
      </c>
      <c r="AB400" s="54">
        <v>68.204799999999992</v>
      </c>
      <c r="AC400" s="54">
        <v>2.019221052631579</v>
      </c>
      <c r="AD400" s="36">
        <v>146.01239999999999</v>
      </c>
    </row>
    <row r="401" spans="1:30" s="37" customFormat="1" ht="15.75" customHeight="1" x14ac:dyDescent="0.2">
      <c r="A401" s="26">
        <v>3151</v>
      </c>
      <c r="B401" s="27" t="s">
        <v>953</v>
      </c>
      <c r="C401" s="27" t="s">
        <v>26</v>
      </c>
      <c r="D401" s="28">
        <v>0.06</v>
      </c>
      <c r="E401" s="29">
        <v>15.73</v>
      </c>
      <c r="F401" s="29">
        <v>7.42</v>
      </c>
      <c r="G401" s="30" t="s">
        <v>39</v>
      </c>
      <c r="H401" s="27" t="s">
        <v>94</v>
      </c>
      <c r="I401" s="27" t="s">
        <v>49</v>
      </c>
      <c r="J401" s="27" t="s">
        <v>568</v>
      </c>
      <c r="K401" s="27" t="s">
        <v>43</v>
      </c>
      <c r="L401" s="31" t="s">
        <v>955</v>
      </c>
      <c r="M401" s="32">
        <v>0.56000000000000005</v>
      </c>
      <c r="N401" s="27" t="s">
        <v>33</v>
      </c>
      <c r="O401" s="27" t="s">
        <v>60</v>
      </c>
      <c r="P401" s="27" t="s">
        <v>90</v>
      </c>
      <c r="Q401" s="27" t="s">
        <v>954</v>
      </c>
      <c r="R401" s="33">
        <v>92277</v>
      </c>
      <c r="S401" s="34">
        <v>42039</v>
      </c>
      <c r="T401" s="34">
        <v>42040</v>
      </c>
      <c r="U401" s="29">
        <v>-18.558800000000002</v>
      </c>
      <c r="V401" s="26">
        <v>4</v>
      </c>
      <c r="W401" s="29">
        <v>63.04</v>
      </c>
      <c r="X401" s="26">
        <v>88544</v>
      </c>
      <c r="Y401" s="35">
        <v>12.92</v>
      </c>
      <c r="Z401" s="1" t="s">
        <v>3013</v>
      </c>
      <c r="AA401" s="36">
        <v>3.7751999999999999</v>
      </c>
      <c r="AB401" s="54">
        <v>27.737599999999997</v>
      </c>
      <c r="AC401" s="54">
        <v>8.8256000000000014</v>
      </c>
      <c r="AD401" s="36">
        <v>70.403599999999997</v>
      </c>
    </row>
    <row r="402" spans="1:30" s="37" customFormat="1" ht="15.75" customHeight="1" x14ac:dyDescent="0.2">
      <c r="A402" s="26">
        <v>2286</v>
      </c>
      <c r="B402" s="27" t="s">
        <v>972</v>
      </c>
      <c r="C402" s="27" t="s">
        <v>116</v>
      </c>
      <c r="D402" s="28">
        <v>0</v>
      </c>
      <c r="E402" s="29">
        <v>4.91</v>
      </c>
      <c r="F402" s="29">
        <v>0.5</v>
      </c>
      <c r="G402" s="30" t="s">
        <v>39</v>
      </c>
      <c r="H402" s="27" t="s">
        <v>94</v>
      </c>
      <c r="I402" s="27" t="s">
        <v>49</v>
      </c>
      <c r="J402" s="27" t="s">
        <v>152</v>
      </c>
      <c r="K402" s="27" t="s">
        <v>73</v>
      </c>
      <c r="L402" s="31" t="s">
        <v>973</v>
      </c>
      <c r="M402" s="32">
        <v>0.36</v>
      </c>
      <c r="N402" s="27" t="s">
        <v>33</v>
      </c>
      <c r="O402" s="27" t="s">
        <v>34</v>
      </c>
      <c r="P402" s="27" t="s">
        <v>271</v>
      </c>
      <c r="Q402" s="27" t="s">
        <v>974</v>
      </c>
      <c r="R402" s="33">
        <v>29301</v>
      </c>
      <c r="S402" s="34">
        <v>42039</v>
      </c>
      <c r="T402" s="34">
        <v>42041</v>
      </c>
      <c r="U402" s="29">
        <v>99.197999999999993</v>
      </c>
      <c r="V402" s="26">
        <v>12</v>
      </c>
      <c r="W402" s="29">
        <v>61.87</v>
      </c>
      <c r="X402" s="26">
        <v>90145</v>
      </c>
      <c r="Y402" s="35">
        <v>5.75</v>
      </c>
      <c r="Z402" s="1" t="s">
        <v>3011</v>
      </c>
      <c r="AA402" s="36">
        <v>0</v>
      </c>
      <c r="AB402" s="54">
        <v>39.596800000000002</v>
      </c>
      <c r="AC402" s="54">
        <v>1.8560999999999996</v>
      </c>
      <c r="AD402" s="36">
        <v>-37.827999999999996</v>
      </c>
    </row>
    <row r="403" spans="1:30" s="37" customFormat="1" ht="15.75" customHeight="1" x14ac:dyDescent="0.2">
      <c r="A403" s="26">
        <v>1499</v>
      </c>
      <c r="B403" s="27" t="s">
        <v>969</v>
      </c>
      <c r="C403" s="27" t="s">
        <v>116</v>
      </c>
      <c r="D403" s="28">
        <v>0.03</v>
      </c>
      <c r="E403" s="29">
        <v>6.48</v>
      </c>
      <c r="F403" s="29">
        <v>6.6</v>
      </c>
      <c r="G403" s="30" t="s">
        <v>39</v>
      </c>
      <c r="H403" s="27" t="s">
        <v>71</v>
      </c>
      <c r="I403" s="27" t="s">
        <v>49</v>
      </c>
      <c r="J403" s="27" t="s">
        <v>88</v>
      </c>
      <c r="K403" s="27" t="s">
        <v>73</v>
      </c>
      <c r="L403" s="31" t="s">
        <v>648</v>
      </c>
      <c r="M403" s="32">
        <v>0.37</v>
      </c>
      <c r="N403" s="27" t="s">
        <v>33</v>
      </c>
      <c r="O403" s="27" t="s">
        <v>34</v>
      </c>
      <c r="P403" s="27" t="s">
        <v>123</v>
      </c>
      <c r="Q403" s="27" t="s">
        <v>970</v>
      </c>
      <c r="R403" s="33">
        <v>33134</v>
      </c>
      <c r="S403" s="34">
        <v>42039</v>
      </c>
      <c r="T403" s="34">
        <v>42040</v>
      </c>
      <c r="U403" s="29">
        <v>-145.852</v>
      </c>
      <c r="V403" s="26">
        <v>9</v>
      </c>
      <c r="W403" s="29">
        <v>58.83</v>
      </c>
      <c r="X403" s="26">
        <v>90731</v>
      </c>
      <c r="Y403" s="35">
        <v>2.1100000000000003</v>
      </c>
      <c r="Z403" s="1" t="s">
        <v>3011</v>
      </c>
      <c r="AA403" s="36">
        <v>1.7496</v>
      </c>
      <c r="AB403" s="54">
        <v>37.062899999999999</v>
      </c>
      <c r="AC403" s="54">
        <v>2.4185666666666665</v>
      </c>
      <c r="AD403" s="36">
        <v>196.33240000000001</v>
      </c>
    </row>
    <row r="404" spans="1:30" s="37" customFormat="1" ht="15.75" customHeight="1" x14ac:dyDescent="0.2">
      <c r="A404" s="26">
        <v>1363</v>
      </c>
      <c r="B404" s="27" t="s">
        <v>966</v>
      </c>
      <c r="C404" s="27" t="s">
        <v>116</v>
      </c>
      <c r="D404" s="28">
        <v>0.06</v>
      </c>
      <c r="E404" s="29">
        <v>5.81</v>
      </c>
      <c r="F404" s="29">
        <v>3.37</v>
      </c>
      <c r="G404" s="30" t="s">
        <v>39</v>
      </c>
      <c r="H404" s="27" t="s">
        <v>40</v>
      </c>
      <c r="I404" s="27" t="s">
        <v>49</v>
      </c>
      <c r="J404" s="27" t="s">
        <v>176</v>
      </c>
      <c r="K404" s="27" t="s">
        <v>51</v>
      </c>
      <c r="L404" s="31" t="s">
        <v>968</v>
      </c>
      <c r="M404" s="32">
        <v>0.54</v>
      </c>
      <c r="N404" s="27" t="s">
        <v>33</v>
      </c>
      <c r="O404" s="27" t="s">
        <v>34</v>
      </c>
      <c r="P404" s="27" t="s">
        <v>123</v>
      </c>
      <c r="Q404" s="27" t="s">
        <v>967</v>
      </c>
      <c r="R404" s="33">
        <v>32707</v>
      </c>
      <c r="S404" s="34">
        <v>42039</v>
      </c>
      <c r="T404" s="34">
        <v>42041</v>
      </c>
      <c r="U404" s="29">
        <v>-149.1182</v>
      </c>
      <c r="V404" s="26">
        <v>9</v>
      </c>
      <c r="W404" s="29">
        <v>53.44</v>
      </c>
      <c r="X404" s="26">
        <v>89993</v>
      </c>
      <c r="Y404" s="35">
        <v>6.45</v>
      </c>
      <c r="Z404" s="1" t="s">
        <v>3011</v>
      </c>
      <c r="AA404" s="36">
        <v>3.1373999999999995</v>
      </c>
      <c r="AB404" s="54">
        <v>24.582399999999996</v>
      </c>
      <c r="AC404" s="54">
        <v>3.2064000000000004</v>
      </c>
      <c r="AD404" s="36">
        <v>196.05079999999998</v>
      </c>
    </row>
    <row r="405" spans="1:30" s="37" customFormat="1" ht="15.75" customHeight="1" x14ac:dyDescent="0.2">
      <c r="A405" s="26">
        <v>2286</v>
      </c>
      <c r="B405" s="27" t="s">
        <v>972</v>
      </c>
      <c r="C405" s="27" t="s">
        <v>116</v>
      </c>
      <c r="D405" s="28">
        <v>0.01</v>
      </c>
      <c r="E405" s="29">
        <v>7.28</v>
      </c>
      <c r="F405" s="29">
        <v>11.15</v>
      </c>
      <c r="G405" s="30" t="s">
        <v>39</v>
      </c>
      <c r="H405" s="27" t="s">
        <v>94</v>
      </c>
      <c r="I405" s="27" t="s">
        <v>49</v>
      </c>
      <c r="J405" s="27" t="s">
        <v>88</v>
      </c>
      <c r="K405" s="27" t="s">
        <v>73</v>
      </c>
      <c r="L405" s="31" t="s">
        <v>975</v>
      </c>
      <c r="M405" s="32">
        <v>0.37</v>
      </c>
      <c r="N405" s="27" t="s">
        <v>33</v>
      </c>
      <c r="O405" s="27" t="s">
        <v>34</v>
      </c>
      <c r="P405" s="27" t="s">
        <v>271</v>
      </c>
      <c r="Q405" s="27" t="s">
        <v>974</v>
      </c>
      <c r="R405" s="33">
        <v>29301</v>
      </c>
      <c r="S405" s="34">
        <v>42039</v>
      </c>
      <c r="T405" s="34">
        <v>42040</v>
      </c>
      <c r="U405" s="29">
        <v>136.03139999999999</v>
      </c>
      <c r="V405" s="26">
        <v>6</v>
      </c>
      <c r="W405" s="29">
        <v>48.88</v>
      </c>
      <c r="X405" s="26">
        <v>90145</v>
      </c>
      <c r="Y405" s="35">
        <v>145.97</v>
      </c>
      <c r="Z405" s="1" t="s">
        <v>3011</v>
      </c>
      <c r="AA405" s="36">
        <v>0.43680000000000002</v>
      </c>
      <c r="AB405" s="54">
        <v>30.794400000000003</v>
      </c>
      <c r="AC405" s="54">
        <v>3.0142666666666664</v>
      </c>
      <c r="AD405" s="36">
        <v>-98.738200000000006</v>
      </c>
    </row>
    <row r="406" spans="1:30" s="37" customFormat="1" ht="15.75" customHeight="1" x14ac:dyDescent="0.2">
      <c r="A406" s="26">
        <v>1213</v>
      </c>
      <c r="B406" s="27" t="s">
        <v>519</v>
      </c>
      <c r="C406" s="27" t="s">
        <v>48</v>
      </c>
      <c r="D406" s="28">
        <v>0.03</v>
      </c>
      <c r="E406" s="29">
        <v>8.34</v>
      </c>
      <c r="F406" s="29">
        <v>4.82</v>
      </c>
      <c r="G406" s="30" t="s">
        <v>39</v>
      </c>
      <c r="H406" s="27" t="s">
        <v>94</v>
      </c>
      <c r="I406" s="27" t="s">
        <v>49</v>
      </c>
      <c r="J406" s="27" t="s">
        <v>88</v>
      </c>
      <c r="K406" s="27" t="s">
        <v>73</v>
      </c>
      <c r="L406" s="31" t="s">
        <v>961</v>
      </c>
      <c r="M406" s="32">
        <v>0.4</v>
      </c>
      <c r="N406" s="27" t="s">
        <v>33</v>
      </c>
      <c r="O406" s="27" t="s">
        <v>53</v>
      </c>
      <c r="P406" s="27" t="s">
        <v>54</v>
      </c>
      <c r="Q406" s="27" t="s">
        <v>520</v>
      </c>
      <c r="R406" s="33">
        <v>46530</v>
      </c>
      <c r="S406" s="34">
        <v>42039</v>
      </c>
      <c r="T406" s="34">
        <v>42043</v>
      </c>
      <c r="U406" s="29">
        <v>-6.71</v>
      </c>
      <c r="V406" s="26">
        <v>5</v>
      </c>
      <c r="W406" s="29">
        <v>43.27</v>
      </c>
      <c r="X406" s="26">
        <v>88599</v>
      </c>
      <c r="Y406" s="35">
        <v>4.91</v>
      </c>
      <c r="Z406" s="1" t="s">
        <v>3012</v>
      </c>
      <c r="AA406" s="36">
        <v>1.2509999999999999</v>
      </c>
      <c r="AB406" s="54">
        <v>25.962</v>
      </c>
      <c r="AC406" s="54">
        <v>3.4616000000000002</v>
      </c>
      <c r="AD406" s="36">
        <v>43.909000000000006</v>
      </c>
    </row>
    <row r="407" spans="1:30" s="37" customFormat="1" ht="15.75" customHeight="1" x14ac:dyDescent="0.2">
      <c r="A407" s="26">
        <v>1363</v>
      </c>
      <c r="B407" s="27" t="s">
        <v>966</v>
      </c>
      <c r="C407" s="27" t="s">
        <v>116</v>
      </c>
      <c r="D407" s="28">
        <v>0.05</v>
      </c>
      <c r="E407" s="29">
        <v>12.97</v>
      </c>
      <c r="F407" s="29">
        <v>1.49</v>
      </c>
      <c r="G407" s="30" t="s">
        <v>39</v>
      </c>
      <c r="H407" s="27" t="s">
        <v>40</v>
      </c>
      <c r="I407" s="27" t="s">
        <v>49</v>
      </c>
      <c r="J407" s="27" t="s">
        <v>72</v>
      </c>
      <c r="K407" s="27" t="s">
        <v>73</v>
      </c>
      <c r="L407" s="31" t="s">
        <v>926</v>
      </c>
      <c r="M407" s="32">
        <v>0.35</v>
      </c>
      <c r="N407" s="27" t="s">
        <v>33</v>
      </c>
      <c r="O407" s="27" t="s">
        <v>34</v>
      </c>
      <c r="P407" s="27" t="s">
        <v>123</v>
      </c>
      <c r="Q407" s="27" t="s">
        <v>967</v>
      </c>
      <c r="R407" s="33">
        <v>32707</v>
      </c>
      <c r="S407" s="34">
        <v>42039</v>
      </c>
      <c r="T407" s="34">
        <v>42041</v>
      </c>
      <c r="U407" s="29">
        <v>5.4660000000000002</v>
      </c>
      <c r="V407" s="26">
        <v>2</v>
      </c>
      <c r="W407" s="29">
        <v>26.37</v>
      </c>
      <c r="X407" s="26">
        <v>89993</v>
      </c>
      <c r="Y407" s="35">
        <v>7.2700000000000005</v>
      </c>
      <c r="Z407" s="1" t="s">
        <v>3011</v>
      </c>
      <c r="AA407" s="36">
        <v>1.2970000000000002</v>
      </c>
      <c r="AB407" s="54">
        <v>17.140500000000003</v>
      </c>
      <c r="AC407" s="54">
        <v>4.6147499999999999</v>
      </c>
      <c r="AD407" s="36">
        <v>18.117000000000001</v>
      </c>
    </row>
    <row r="408" spans="1:30" s="37" customFormat="1" ht="15.75" customHeight="1" x14ac:dyDescent="0.2">
      <c r="A408" s="26">
        <v>2286</v>
      </c>
      <c r="B408" s="27" t="s">
        <v>972</v>
      </c>
      <c r="C408" s="27" t="s">
        <v>116</v>
      </c>
      <c r="D408" s="28">
        <v>0.1</v>
      </c>
      <c r="E408" s="29">
        <v>6.68</v>
      </c>
      <c r="F408" s="29">
        <v>6.93</v>
      </c>
      <c r="G408" s="30" t="s">
        <v>39</v>
      </c>
      <c r="H408" s="27" t="s">
        <v>94</v>
      </c>
      <c r="I408" s="27" t="s">
        <v>49</v>
      </c>
      <c r="J408" s="27" t="s">
        <v>88</v>
      </c>
      <c r="K408" s="27" t="s">
        <v>73</v>
      </c>
      <c r="L408" s="31" t="s">
        <v>976</v>
      </c>
      <c r="M408" s="32">
        <v>0.37</v>
      </c>
      <c r="N408" s="27" t="s">
        <v>33</v>
      </c>
      <c r="O408" s="27" t="s">
        <v>34</v>
      </c>
      <c r="P408" s="27" t="s">
        <v>271</v>
      </c>
      <c r="Q408" s="27" t="s">
        <v>974</v>
      </c>
      <c r="R408" s="33">
        <v>29301</v>
      </c>
      <c r="S408" s="34">
        <v>42039</v>
      </c>
      <c r="T408" s="34">
        <v>42042</v>
      </c>
      <c r="U408" s="29">
        <v>-100.072</v>
      </c>
      <c r="V408" s="26">
        <v>3</v>
      </c>
      <c r="W408" s="29">
        <v>21.56</v>
      </c>
      <c r="X408" s="26">
        <v>90145</v>
      </c>
      <c r="Y408" s="35">
        <v>6.58</v>
      </c>
      <c r="Z408" s="1" t="s">
        <v>3011</v>
      </c>
      <c r="AA408" s="36">
        <v>2.004</v>
      </c>
      <c r="AB408" s="54">
        <v>13.582799999999999</v>
      </c>
      <c r="AC408" s="54">
        <v>2.6590666666666665</v>
      </c>
      <c r="AD408" s="36">
        <v>112.69799999999999</v>
      </c>
    </row>
    <row r="409" spans="1:30" s="37" customFormat="1" ht="15.75" customHeight="1" x14ac:dyDescent="0.2">
      <c r="A409" s="26">
        <v>1499</v>
      </c>
      <c r="B409" s="27" t="s">
        <v>969</v>
      </c>
      <c r="C409" s="27" t="s">
        <v>116</v>
      </c>
      <c r="D409" s="28">
        <v>0.05</v>
      </c>
      <c r="E409" s="29">
        <v>2.16</v>
      </c>
      <c r="F409" s="29">
        <v>6.05</v>
      </c>
      <c r="G409" s="30" t="s">
        <v>39</v>
      </c>
      <c r="H409" s="27" t="s">
        <v>71</v>
      </c>
      <c r="I409" s="27" t="s">
        <v>49</v>
      </c>
      <c r="J409" s="27" t="s">
        <v>72</v>
      </c>
      <c r="K409" s="27" t="s">
        <v>73</v>
      </c>
      <c r="L409" s="31" t="s">
        <v>896</v>
      </c>
      <c r="M409" s="32">
        <v>0.37</v>
      </c>
      <c r="N409" s="27" t="s">
        <v>33</v>
      </c>
      <c r="O409" s="27" t="s">
        <v>34</v>
      </c>
      <c r="P409" s="27" t="s">
        <v>123</v>
      </c>
      <c r="Q409" s="27" t="s">
        <v>970</v>
      </c>
      <c r="R409" s="33">
        <v>33134</v>
      </c>
      <c r="S409" s="34">
        <v>42039</v>
      </c>
      <c r="T409" s="34">
        <v>42040</v>
      </c>
      <c r="U409" s="29">
        <v>-298.88600000000002</v>
      </c>
      <c r="V409" s="26">
        <v>8</v>
      </c>
      <c r="W409" s="29">
        <v>18.59</v>
      </c>
      <c r="X409" s="26">
        <v>90731</v>
      </c>
      <c r="Y409" s="35">
        <v>80.910000000000011</v>
      </c>
      <c r="Z409" s="1" t="s">
        <v>3011</v>
      </c>
      <c r="AA409" s="36">
        <v>0.8640000000000001</v>
      </c>
      <c r="AB409" s="54">
        <v>11.7117</v>
      </c>
      <c r="AC409" s="54">
        <v>0.85978750000000004</v>
      </c>
      <c r="AD409" s="36">
        <v>310.56200000000001</v>
      </c>
    </row>
    <row r="410" spans="1:30" s="37" customFormat="1" ht="15.75" customHeight="1" x14ac:dyDescent="0.2">
      <c r="A410" s="26">
        <v>689</v>
      </c>
      <c r="B410" s="27" t="s">
        <v>964</v>
      </c>
      <c r="C410" s="27" t="s">
        <v>116</v>
      </c>
      <c r="D410" s="28">
        <v>7.0000000000000007E-2</v>
      </c>
      <c r="E410" s="29">
        <v>1.7</v>
      </c>
      <c r="F410" s="29">
        <v>1.99</v>
      </c>
      <c r="G410" s="30" t="s">
        <v>39</v>
      </c>
      <c r="H410" s="27" t="s">
        <v>3095</v>
      </c>
      <c r="I410" s="27" t="s">
        <v>41</v>
      </c>
      <c r="J410" s="27" t="s">
        <v>42</v>
      </c>
      <c r="K410" s="27" t="s">
        <v>43</v>
      </c>
      <c r="L410" s="31" t="s">
        <v>284</v>
      </c>
      <c r="M410" s="32">
        <v>0.51</v>
      </c>
      <c r="N410" s="27" t="s">
        <v>33</v>
      </c>
      <c r="O410" s="27" t="s">
        <v>53</v>
      </c>
      <c r="P410" s="27" t="s">
        <v>80</v>
      </c>
      <c r="Q410" s="27" t="s">
        <v>965</v>
      </c>
      <c r="R410" s="33">
        <v>63376</v>
      </c>
      <c r="S410" s="34">
        <v>42039</v>
      </c>
      <c r="T410" s="34">
        <v>42040</v>
      </c>
      <c r="U410" s="29">
        <v>-51.42</v>
      </c>
      <c r="V410" s="26">
        <v>10</v>
      </c>
      <c r="W410" s="29">
        <v>17.420000000000002</v>
      </c>
      <c r="X410" s="26">
        <v>88502</v>
      </c>
      <c r="Y410" s="35">
        <v>14.41</v>
      </c>
      <c r="Z410" s="1" t="s">
        <v>3012</v>
      </c>
      <c r="AA410" s="36">
        <v>1.1900000000000002</v>
      </c>
      <c r="AB410" s="54">
        <v>8.5358000000000001</v>
      </c>
      <c r="AC410" s="54">
        <v>0.8884200000000001</v>
      </c>
      <c r="AD410" s="36">
        <v>65.66</v>
      </c>
    </row>
    <row r="411" spans="1:30" s="37" customFormat="1" ht="15.75" customHeight="1" x14ac:dyDescent="0.2">
      <c r="A411" s="26">
        <v>962</v>
      </c>
      <c r="B411" s="27" t="s">
        <v>960</v>
      </c>
      <c r="C411" s="27" t="s">
        <v>48</v>
      </c>
      <c r="D411" s="28">
        <v>0.03</v>
      </c>
      <c r="E411" s="29">
        <v>2.94</v>
      </c>
      <c r="F411" s="29">
        <v>0.96</v>
      </c>
      <c r="G411" s="30" t="s">
        <v>39</v>
      </c>
      <c r="H411" s="27" t="s">
        <v>71</v>
      </c>
      <c r="I411" s="27" t="s">
        <v>49</v>
      </c>
      <c r="J411" s="27" t="s">
        <v>50</v>
      </c>
      <c r="K411" s="27" t="s">
        <v>51</v>
      </c>
      <c r="L411" s="31" t="s">
        <v>829</v>
      </c>
      <c r="M411" s="32">
        <v>0.57999999999999996</v>
      </c>
      <c r="N411" s="27" t="s">
        <v>33</v>
      </c>
      <c r="O411" s="27" t="s">
        <v>53</v>
      </c>
      <c r="P411" s="27" t="s">
        <v>103</v>
      </c>
      <c r="Q411" s="27" t="s">
        <v>533</v>
      </c>
      <c r="R411" s="33">
        <v>60610</v>
      </c>
      <c r="S411" s="34">
        <v>42039</v>
      </c>
      <c r="T411" s="34">
        <v>42043</v>
      </c>
      <c r="U411" s="29">
        <v>-4.2</v>
      </c>
      <c r="V411" s="26">
        <v>2</v>
      </c>
      <c r="W411" s="29">
        <v>7.01</v>
      </c>
      <c r="X411" s="26">
        <v>17636</v>
      </c>
      <c r="Y411" s="35">
        <v>5.7</v>
      </c>
      <c r="Z411" s="1" t="s">
        <v>3012</v>
      </c>
      <c r="AA411" s="36">
        <v>0.1764</v>
      </c>
      <c r="AB411" s="54">
        <v>2.9442000000000004</v>
      </c>
      <c r="AC411" s="54">
        <v>2.0328999999999997</v>
      </c>
      <c r="AD411" s="36">
        <v>10.073599999999999</v>
      </c>
    </row>
    <row r="412" spans="1:30" s="37" customFormat="1" ht="15.75" customHeight="1" x14ac:dyDescent="0.2">
      <c r="A412" s="26">
        <v>960</v>
      </c>
      <c r="B412" s="27" t="s">
        <v>958</v>
      </c>
      <c r="C412" s="27" t="s">
        <v>48</v>
      </c>
      <c r="D412" s="28">
        <v>0.03</v>
      </c>
      <c r="E412" s="29">
        <v>2.94</v>
      </c>
      <c r="F412" s="29">
        <v>0.96</v>
      </c>
      <c r="G412" s="30" t="s">
        <v>39</v>
      </c>
      <c r="H412" s="27" t="s">
        <v>71</v>
      </c>
      <c r="I412" s="27" t="s">
        <v>49</v>
      </c>
      <c r="J412" s="27" t="s">
        <v>50</v>
      </c>
      <c r="K412" s="27" t="s">
        <v>51</v>
      </c>
      <c r="L412" s="31" t="s">
        <v>829</v>
      </c>
      <c r="M412" s="32">
        <v>0.57999999999999996</v>
      </c>
      <c r="N412" s="27" t="s">
        <v>33</v>
      </c>
      <c r="O412" s="27" t="s">
        <v>60</v>
      </c>
      <c r="P412" s="27" t="s">
        <v>90</v>
      </c>
      <c r="Q412" s="27" t="s">
        <v>959</v>
      </c>
      <c r="R412" s="33">
        <v>90278</v>
      </c>
      <c r="S412" s="34">
        <v>42039</v>
      </c>
      <c r="T412" s="34">
        <v>42043</v>
      </c>
      <c r="U412" s="29">
        <v>-4.2</v>
      </c>
      <c r="V412" s="26">
        <v>1</v>
      </c>
      <c r="W412" s="29">
        <v>3.51</v>
      </c>
      <c r="X412" s="26">
        <v>89401</v>
      </c>
      <c r="Y412" s="35">
        <v>7.63</v>
      </c>
      <c r="Z412" s="1" t="s">
        <v>3013</v>
      </c>
      <c r="AA412" s="36">
        <v>8.8200000000000001E-2</v>
      </c>
      <c r="AB412" s="54">
        <v>1.4742</v>
      </c>
      <c r="AC412" s="54">
        <v>2.0357999999999996</v>
      </c>
      <c r="AD412" s="36">
        <v>6.6617999999999995</v>
      </c>
    </row>
    <row r="413" spans="1:30" s="37" customFormat="1" ht="15.75" customHeight="1" x14ac:dyDescent="0.2">
      <c r="A413" s="26">
        <v>2094</v>
      </c>
      <c r="B413" s="27" t="s">
        <v>1001</v>
      </c>
      <c r="C413" s="27" t="s">
        <v>116</v>
      </c>
      <c r="D413" s="28">
        <v>0.08</v>
      </c>
      <c r="E413" s="29">
        <v>400.98</v>
      </c>
      <c r="F413" s="29">
        <v>42.52</v>
      </c>
      <c r="G413" s="30" t="s">
        <v>27</v>
      </c>
      <c r="H413" s="27" t="s">
        <v>94</v>
      </c>
      <c r="I413" s="27" t="s">
        <v>29</v>
      </c>
      <c r="J413" s="27" t="s">
        <v>30</v>
      </c>
      <c r="K413" s="27" t="s">
        <v>31</v>
      </c>
      <c r="L413" s="31" t="s">
        <v>1002</v>
      </c>
      <c r="M413" s="32">
        <v>0.71</v>
      </c>
      <c r="N413" s="27" t="s">
        <v>33</v>
      </c>
      <c r="O413" s="27" t="s">
        <v>60</v>
      </c>
      <c r="P413" s="27" t="s">
        <v>90</v>
      </c>
      <c r="Q413" s="27" t="s">
        <v>1003</v>
      </c>
      <c r="R413" s="33">
        <v>95928</v>
      </c>
      <c r="S413" s="34">
        <v>42040</v>
      </c>
      <c r="T413" s="34">
        <v>42041</v>
      </c>
      <c r="U413" s="29">
        <v>3031.9724000000001</v>
      </c>
      <c r="V413" s="26">
        <v>20</v>
      </c>
      <c r="W413" s="29">
        <v>7840.04</v>
      </c>
      <c r="X413" s="26">
        <v>86629</v>
      </c>
      <c r="Y413" s="35">
        <v>279.75</v>
      </c>
      <c r="Z413" s="1" t="s">
        <v>3013</v>
      </c>
      <c r="AA413" s="36">
        <v>641.56799999999998</v>
      </c>
      <c r="AB413" s="54">
        <v>2273.6116000000002</v>
      </c>
      <c r="AC413" s="54">
        <v>278.32141999999999</v>
      </c>
      <c r="AD413" s="36">
        <v>4123.9795999999997</v>
      </c>
    </row>
    <row r="414" spans="1:30" s="37" customFormat="1" ht="15.75" customHeight="1" x14ac:dyDescent="0.2">
      <c r="A414" s="26">
        <v>2803</v>
      </c>
      <c r="B414" s="27" t="s">
        <v>1008</v>
      </c>
      <c r="C414" s="27" t="s">
        <v>116</v>
      </c>
      <c r="D414" s="28">
        <v>7.0000000000000007E-2</v>
      </c>
      <c r="E414" s="29">
        <v>500.98</v>
      </c>
      <c r="F414" s="29">
        <v>28.14</v>
      </c>
      <c r="G414" s="30" t="s">
        <v>27</v>
      </c>
      <c r="H414" s="27" t="s">
        <v>3095</v>
      </c>
      <c r="I414" s="27" t="s">
        <v>41</v>
      </c>
      <c r="J414" s="27" t="s">
        <v>57</v>
      </c>
      <c r="K414" s="27" t="s">
        <v>58</v>
      </c>
      <c r="L414" s="31" t="s">
        <v>1009</v>
      </c>
      <c r="M414" s="32">
        <v>0.38</v>
      </c>
      <c r="N414" s="27" t="s">
        <v>33</v>
      </c>
      <c r="O414" s="27" t="s">
        <v>60</v>
      </c>
      <c r="P414" s="27" t="s">
        <v>90</v>
      </c>
      <c r="Q414" s="27" t="s">
        <v>1010</v>
      </c>
      <c r="R414" s="33">
        <v>90022</v>
      </c>
      <c r="S414" s="34">
        <v>42040</v>
      </c>
      <c r="T414" s="34">
        <v>42041</v>
      </c>
      <c r="U414" s="29">
        <v>2699.9838</v>
      </c>
      <c r="V414" s="26">
        <v>10</v>
      </c>
      <c r="W414" s="29">
        <v>3913.02</v>
      </c>
      <c r="X414" s="26">
        <v>86227</v>
      </c>
      <c r="Y414" s="35">
        <v>7.28</v>
      </c>
      <c r="Z414" s="1" t="s">
        <v>3013</v>
      </c>
      <c r="AA414" s="36">
        <v>350.68600000000004</v>
      </c>
      <c r="AB414" s="54">
        <v>2426.0724</v>
      </c>
      <c r="AC414" s="54">
        <v>148.69476</v>
      </c>
      <c r="AD414" s="36">
        <v>834.21019999999999</v>
      </c>
    </row>
    <row r="415" spans="1:30" s="37" customFormat="1" ht="15.75" customHeight="1" x14ac:dyDescent="0.2">
      <c r="A415" s="26">
        <v>1427</v>
      </c>
      <c r="B415" s="27" t="s">
        <v>993</v>
      </c>
      <c r="C415" s="27" t="s">
        <v>48</v>
      </c>
      <c r="D415" s="28">
        <v>0.09</v>
      </c>
      <c r="E415" s="29">
        <v>125.99</v>
      </c>
      <c r="F415" s="29">
        <v>2.5</v>
      </c>
      <c r="G415" s="30" t="s">
        <v>39</v>
      </c>
      <c r="H415" s="27" t="s">
        <v>71</v>
      </c>
      <c r="I415" s="27" t="s">
        <v>41</v>
      </c>
      <c r="J415" s="27" t="s">
        <v>135</v>
      </c>
      <c r="K415" s="27" t="s">
        <v>73</v>
      </c>
      <c r="L415" s="31" t="s">
        <v>948</v>
      </c>
      <c r="M415" s="32">
        <v>0.6</v>
      </c>
      <c r="N415" s="27" t="s">
        <v>33</v>
      </c>
      <c r="O415" s="27" t="s">
        <v>53</v>
      </c>
      <c r="P415" s="27" t="s">
        <v>289</v>
      </c>
      <c r="Q415" s="27" t="s">
        <v>994</v>
      </c>
      <c r="R415" s="33">
        <v>48708</v>
      </c>
      <c r="S415" s="34">
        <v>42040</v>
      </c>
      <c r="T415" s="34">
        <v>42044</v>
      </c>
      <c r="U415" s="29">
        <v>1258.7877000000001</v>
      </c>
      <c r="V415" s="26">
        <v>18</v>
      </c>
      <c r="W415" s="29">
        <v>1824.33</v>
      </c>
      <c r="X415" s="26">
        <v>90905</v>
      </c>
      <c r="Y415" s="35">
        <v>2.81</v>
      </c>
      <c r="Z415" s="1" t="s">
        <v>3012</v>
      </c>
      <c r="AA415" s="36">
        <v>204.10379999999998</v>
      </c>
      <c r="AB415" s="54">
        <v>729.73199999999997</v>
      </c>
      <c r="AC415" s="54">
        <v>60.810999999999993</v>
      </c>
      <c r="AD415" s="36">
        <v>358.93849999999975</v>
      </c>
    </row>
    <row r="416" spans="1:30" s="37" customFormat="1" ht="15.75" customHeight="1" x14ac:dyDescent="0.2">
      <c r="A416" s="26">
        <v>234</v>
      </c>
      <c r="B416" s="27" t="s">
        <v>985</v>
      </c>
      <c r="C416" s="27" t="s">
        <v>26</v>
      </c>
      <c r="D416" s="28">
        <v>0.06</v>
      </c>
      <c r="E416" s="29">
        <v>279.81</v>
      </c>
      <c r="F416" s="29">
        <v>23.19</v>
      </c>
      <c r="G416" s="30" t="s">
        <v>27</v>
      </c>
      <c r="H416" s="27" t="s">
        <v>3095</v>
      </c>
      <c r="I416" s="27" t="s">
        <v>49</v>
      </c>
      <c r="J416" s="27" t="s">
        <v>95</v>
      </c>
      <c r="K416" s="27" t="s">
        <v>58</v>
      </c>
      <c r="L416" s="31" t="s">
        <v>986</v>
      </c>
      <c r="M416" s="32">
        <v>0.59</v>
      </c>
      <c r="N416" s="27" t="s">
        <v>33</v>
      </c>
      <c r="O416" s="27" t="s">
        <v>53</v>
      </c>
      <c r="P416" s="27" t="s">
        <v>213</v>
      </c>
      <c r="Q416" s="27" t="s">
        <v>737</v>
      </c>
      <c r="R416" s="33">
        <v>50208</v>
      </c>
      <c r="S416" s="34">
        <v>42040</v>
      </c>
      <c r="T416" s="34">
        <v>42041</v>
      </c>
      <c r="U416" s="29">
        <v>1103.9724000000001</v>
      </c>
      <c r="V416" s="26">
        <v>6</v>
      </c>
      <c r="W416" s="29">
        <v>1599.96</v>
      </c>
      <c r="X416" s="26">
        <v>90236</v>
      </c>
      <c r="Y416" s="35">
        <v>195.89000000000001</v>
      </c>
      <c r="Z416" s="1" t="s">
        <v>3012</v>
      </c>
      <c r="AA416" s="36">
        <v>100.73159999999999</v>
      </c>
      <c r="AB416" s="54">
        <v>655.98360000000002</v>
      </c>
      <c r="AC416" s="54">
        <v>157.32939999999999</v>
      </c>
      <c r="AD416" s="36">
        <v>372.0659999999998</v>
      </c>
    </row>
    <row r="417" spans="1:30" s="37" customFormat="1" ht="15.75" customHeight="1" x14ac:dyDescent="0.2">
      <c r="A417" s="26">
        <v>1821</v>
      </c>
      <c r="B417" s="27" t="s">
        <v>998</v>
      </c>
      <c r="C417" s="27" t="s">
        <v>48</v>
      </c>
      <c r="D417" s="28">
        <v>0.01</v>
      </c>
      <c r="E417" s="29">
        <v>10.48</v>
      </c>
      <c r="F417" s="29">
        <v>2.89</v>
      </c>
      <c r="G417" s="30" t="s">
        <v>39</v>
      </c>
      <c r="H417" s="27" t="s">
        <v>40</v>
      </c>
      <c r="I417" s="27" t="s">
        <v>49</v>
      </c>
      <c r="J417" s="27" t="s">
        <v>50</v>
      </c>
      <c r="K417" s="27" t="s">
        <v>43</v>
      </c>
      <c r="L417" s="31" t="s">
        <v>996</v>
      </c>
      <c r="M417" s="32">
        <v>0.6</v>
      </c>
      <c r="N417" s="27" t="s">
        <v>33</v>
      </c>
      <c r="O417" s="27" t="s">
        <v>111</v>
      </c>
      <c r="P417" s="27" t="s">
        <v>112</v>
      </c>
      <c r="Q417" s="27" t="s">
        <v>113</v>
      </c>
      <c r="R417" s="33">
        <v>10177</v>
      </c>
      <c r="S417" s="34">
        <v>42040</v>
      </c>
      <c r="T417" s="34">
        <v>42042</v>
      </c>
      <c r="U417" s="29">
        <v>40.92</v>
      </c>
      <c r="V417" s="26">
        <v>76</v>
      </c>
      <c r="W417" s="29">
        <v>809.51</v>
      </c>
      <c r="X417" s="26">
        <v>34435</v>
      </c>
      <c r="Y417" s="35">
        <v>125.89999999999999</v>
      </c>
      <c r="Z417" s="1" t="s">
        <v>3014</v>
      </c>
      <c r="AA417" s="36">
        <v>7.9648000000000003</v>
      </c>
      <c r="AB417" s="54">
        <v>323.80400000000003</v>
      </c>
      <c r="AC417" s="54">
        <v>6.3908684210526312</v>
      </c>
      <c r="AD417" s="36">
        <v>757.73519999999996</v>
      </c>
    </row>
    <row r="418" spans="1:30" s="37" customFormat="1" ht="15.75" customHeight="1" x14ac:dyDescent="0.2">
      <c r="A418" s="26">
        <v>980</v>
      </c>
      <c r="B418" s="27" t="s">
        <v>999</v>
      </c>
      <c r="C418" s="27" t="s">
        <v>116</v>
      </c>
      <c r="D418" s="28">
        <v>0</v>
      </c>
      <c r="E418" s="29">
        <v>37.76</v>
      </c>
      <c r="F418" s="29">
        <v>12.9</v>
      </c>
      <c r="G418" s="30" t="s">
        <v>39</v>
      </c>
      <c r="H418" s="27" t="s">
        <v>94</v>
      </c>
      <c r="I418" s="27" t="s">
        <v>49</v>
      </c>
      <c r="J418" s="27" t="s">
        <v>78</v>
      </c>
      <c r="K418" s="27" t="s">
        <v>73</v>
      </c>
      <c r="L418" s="31" t="s">
        <v>1000</v>
      </c>
      <c r="M418" s="32">
        <v>0.56999999999999995</v>
      </c>
      <c r="N418" s="27" t="s">
        <v>33</v>
      </c>
      <c r="O418" s="27" t="s">
        <v>111</v>
      </c>
      <c r="P418" s="27" t="s">
        <v>633</v>
      </c>
      <c r="Q418" s="27" t="s">
        <v>634</v>
      </c>
      <c r="R418" s="33">
        <v>5403</v>
      </c>
      <c r="S418" s="34">
        <v>42040</v>
      </c>
      <c r="T418" s="34">
        <v>42041</v>
      </c>
      <c r="U418" s="29">
        <v>93.846800000000002</v>
      </c>
      <c r="V418" s="26">
        <v>12</v>
      </c>
      <c r="W418" s="29">
        <v>477.2</v>
      </c>
      <c r="X418" s="26">
        <v>87258</v>
      </c>
      <c r="Y418" s="35">
        <v>10.47</v>
      </c>
      <c r="Z418" s="1" t="s">
        <v>3014</v>
      </c>
      <c r="AA418" s="36">
        <v>0</v>
      </c>
      <c r="AB418" s="54">
        <v>205.19600000000003</v>
      </c>
      <c r="AC418" s="54">
        <v>22.666999999999998</v>
      </c>
      <c r="AD418" s="36">
        <v>370.45319999999998</v>
      </c>
    </row>
    <row r="419" spans="1:30" s="37" customFormat="1" ht="15.75" customHeight="1" x14ac:dyDescent="0.2">
      <c r="A419" s="26">
        <v>672</v>
      </c>
      <c r="B419" s="27" t="s">
        <v>990</v>
      </c>
      <c r="C419" s="27" t="s">
        <v>48</v>
      </c>
      <c r="D419" s="28">
        <v>0.1</v>
      </c>
      <c r="E419" s="29">
        <v>195.99</v>
      </c>
      <c r="F419" s="29">
        <v>3.99</v>
      </c>
      <c r="G419" s="30" t="s">
        <v>39</v>
      </c>
      <c r="H419" s="27" t="s">
        <v>3095</v>
      </c>
      <c r="I419" s="27" t="s">
        <v>41</v>
      </c>
      <c r="J419" s="27" t="s">
        <v>135</v>
      </c>
      <c r="K419" s="27" t="s">
        <v>73</v>
      </c>
      <c r="L419" s="31" t="s">
        <v>992</v>
      </c>
      <c r="M419" s="32">
        <v>0.57999999999999996</v>
      </c>
      <c r="N419" s="27" t="s">
        <v>33</v>
      </c>
      <c r="O419" s="27" t="s">
        <v>53</v>
      </c>
      <c r="P419" s="27" t="s">
        <v>213</v>
      </c>
      <c r="Q419" s="27" t="s">
        <v>737</v>
      </c>
      <c r="R419" s="33">
        <v>50208</v>
      </c>
      <c r="S419" s="34">
        <v>42040</v>
      </c>
      <c r="T419" s="34">
        <v>42047</v>
      </c>
      <c r="U419" s="29">
        <v>-655.42399999999998</v>
      </c>
      <c r="V419" s="26">
        <v>2</v>
      </c>
      <c r="W419" s="29">
        <v>308.86</v>
      </c>
      <c r="X419" s="26">
        <v>88173</v>
      </c>
      <c r="Y419" s="35">
        <v>10.47</v>
      </c>
      <c r="Z419" s="1" t="s">
        <v>3012</v>
      </c>
      <c r="AA419" s="36">
        <v>39.198000000000008</v>
      </c>
      <c r="AB419" s="54">
        <v>129.72120000000001</v>
      </c>
      <c r="AC419" s="54">
        <v>89.569400000000002</v>
      </c>
      <c r="AD419" s="36">
        <v>921.096</v>
      </c>
    </row>
    <row r="420" spans="1:30" s="37" customFormat="1" ht="15.75" customHeight="1" x14ac:dyDescent="0.2">
      <c r="A420" s="26">
        <v>1117</v>
      </c>
      <c r="B420" s="27" t="s">
        <v>1012</v>
      </c>
      <c r="C420" s="27" t="s">
        <v>3094</v>
      </c>
      <c r="D420" s="28">
        <v>0.06</v>
      </c>
      <c r="E420" s="29">
        <v>64.650000000000006</v>
      </c>
      <c r="F420" s="29">
        <v>35</v>
      </c>
      <c r="G420" s="30" t="s">
        <v>39</v>
      </c>
      <c r="H420" s="27" t="s">
        <v>71</v>
      </c>
      <c r="I420" s="27" t="s">
        <v>49</v>
      </c>
      <c r="J420" s="27" t="s">
        <v>78</v>
      </c>
      <c r="K420" s="27" t="s">
        <v>65</v>
      </c>
      <c r="L420" s="31" t="s">
        <v>1013</v>
      </c>
      <c r="M420" s="32">
        <v>0.8</v>
      </c>
      <c r="N420" s="27" t="s">
        <v>33</v>
      </c>
      <c r="O420" s="27" t="s">
        <v>60</v>
      </c>
      <c r="P420" s="27" t="s">
        <v>588</v>
      </c>
      <c r="Q420" s="27" t="s">
        <v>1014</v>
      </c>
      <c r="R420" s="33">
        <v>85705</v>
      </c>
      <c r="S420" s="34">
        <v>42040</v>
      </c>
      <c r="T420" s="34">
        <v>42041</v>
      </c>
      <c r="U420" s="29">
        <v>-139.28720000000001</v>
      </c>
      <c r="V420" s="26">
        <v>4</v>
      </c>
      <c r="W420" s="29">
        <v>277.60000000000002</v>
      </c>
      <c r="X420" s="26">
        <v>86768</v>
      </c>
      <c r="Y420" s="35">
        <v>37.76</v>
      </c>
      <c r="Z420" s="1" t="s">
        <v>3013</v>
      </c>
      <c r="AA420" s="36">
        <v>15.516</v>
      </c>
      <c r="AB420" s="54">
        <v>55.519999999999989</v>
      </c>
      <c r="AC420" s="54">
        <v>55.52000000000001</v>
      </c>
      <c r="AD420" s="36">
        <v>366.37120000000004</v>
      </c>
    </row>
    <row r="421" spans="1:30" s="37" customFormat="1" ht="15.75" customHeight="1" x14ac:dyDescent="0.2">
      <c r="A421" s="26">
        <v>1816</v>
      </c>
      <c r="B421" s="27" t="s">
        <v>995</v>
      </c>
      <c r="C421" s="27" t="s">
        <v>48</v>
      </c>
      <c r="D421" s="28">
        <v>0.01</v>
      </c>
      <c r="E421" s="29">
        <v>10.48</v>
      </c>
      <c r="F421" s="29">
        <v>2.89</v>
      </c>
      <c r="G421" s="30" t="s">
        <v>39</v>
      </c>
      <c r="H421" s="27" t="s">
        <v>40</v>
      </c>
      <c r="I421" s="27" t="s">
        <v>49</v>
      </c>
      <c r="J421" s="27" t="s">
        <v>50</v>
      </c>
      <c r="K421" s="27" t="s">
        <v>43</v>
      </c>
      <c r="L421" s="31" t="s">
        <v>996</v>
      </c>
      <c r="M421" s="32">
        <v>0.6</v>
      </c>
      <c r="N421" s="27" t="s">
        <v>33</v>
      </c>
      <c r="O421" s="27" t="s">
        <v>53</v>
      </c>
      <c r="P421" s="27" t="s">
        <v>289</v>
      </c>
      <c r="Q421" s="27" t="s">
        <v>997</v>
      </c>
      <c r="R421" s="33">
        <v>48187</v>
      </c>
      <c r="S421" s="34">
        <v>42040</v>
      </c>
      <c r="T421" s="34">
        <v>42042</v>
      </c>
      <c r="U421" s="29">
        <v>60.561599999999999</v>
      </c>
      <c r="V421" s="26">
        <v>19</v>
      </c>
      <c r="W421" s="29">
        <v>202.38</v>
      </c>
      <c r="X421" s="26">
        <v>85990</v>
      </c>
      <c r="Y421" s="35">
        <v>400.90000000000003</v>
      </c>
      <c r="Z421" s="1" t="s">
        <v>3012</v>
      </c>
      <c r="AA421" s="36">
        <v>1.9912000000000001</v>
      </c>
      <c r="AB421" s="54">
        <v>80.951999999999998</v>
      </c>
      <c r="AC421" s="54">
        <v>6.3909473684210525</v>
      </c>
      <c r="AD421" s="36">
        <v>136.93719999999999</v>
      </c>
    </row>
    <row r="422" spans="1:30" s="37" customFormat="1" ht="15.75" customHeight="1" x14ac:dyDescent="0.2">
      <c r="A422" s="26">
        <v>2803</v>
      </c>
      <c r="B422" s="27" t="s">
        <v>1008</v>
      </c>
      <c r="C422" s="27" t="s">
        <v>116</v>
      </c>
      <c r="D422" s="28">
        <v>0.1</v>
      </c>
      <c r="E422" s="29">
        <v>178.47</v>
      </c>
      <c r="F422" s="29">
        <v>19.989999999999998</v>
      </c>
      <c r="G422" s="30" t="s">
        <v>39</v>
      </c>
      <c r="H422" s="27" t="s">
        <v>3095</v>
      </c>
      <c r="I422" s="27" t="s">
        <v>49</v>
      </c>
      <c r="J422" s="27" t="s">
        <v>78</v>
      </c>
      <c r="K422" s="27" t="s">
        <v>73</v>
      </c>
      <c r="L422" s="31" t="s">
        <v>1011</v>
      </c>
      <c r="M422" s="32">
        <v>0.55000000000000004</v>
      </c>
      <c r="N422" s="27" t="s">
        <v>33</v>
      </c>
      <c r="O422" s="27" t="s">
        <v>60</v>
      </c>
      <c r="P422" s="27" t="s">
        <v>90</v>
      </c>
      <c r="Q422" s="27" t="s">
        <v>1010</v>
      </c>
      <c r="R422" s="33">
        <v>90022</v>
      </c>
      <c r="S422" s="34">
        <v>42040</v>
      </c>
      <c r="T422" s="34">
        <v>42042</v>
      </c>
      <c r="U422" s="29">
        <v>-170.98</v>
      </c>
      <c r="V422" s="26">
        <v>1</v>
      </c>
      <c r="W422" s="29">
        <v>180.14</v>
      </c>
      <c r="X422" s="26">
        <v>86227</v>
      </c>
      <c r="Y422" s="35">
        <v>5.94</v>
      </c>
      <c r="Z422" s="1" t="s">
        <v>3013</v>
      </c>
      <c r="AA422" s="36">
        <v>17.847000000000001</v>
      </c>
      <c r="AB422" s="54">
        <v>81.062999999999988</v>
      </c>
      <c r="AC422" s="54">
        <v>99.076999999999998</v>
      </c>
      <c r="AD422" s="36">
        <v>313.28299999999996</v>
      </c>
    </row>
    <row r="423" spans="1:30" s="37" customFormat="1" ht="15.75" customHeight="1" x14ac:dyDescent="0.2">
      <c r="A423" s="26">
        <v>2747</v>
      </c>
      <c r="B423" s="27" t="s">
        <v>1006</v>
      </c>
      <c r="C423" s="27" t="s">
        <v>116</v>
      </c>
      <c r="D423" s="28">
        <v>0.08</v>
      </c>
      <c r="E423" s="29">
        <v>9.98</v>
      </c>
      <c r="F423" s="29">
        <v>12.52</v>
      </c>
      <c r="G423" s="30" t="s">
        <v>39</v>
      </c>
      <c r="H423" s="27" t="s">
        <v>94</v>
      </c>
      <c r="I423" s="27" t="s">
        <v>29</v>
      </c>
      <c r="J423" s="27" t="s">
        <v>126</v>
      </c>
      <c r="K423" s="27" t="s">
        <v>73</v>
      </c>
      <c r="L423" s="31" t="s">
        <v>1007</v>
      </c>
      <c r="M423" s="32">
        <v>0.56999999999999995</v>
      </c>
      <c r="N423" s="27" t="s">
        <v>33</v>
      </c>
      <c r="O423" s="27" t="s">
        <v>111</v>
      </c>
      <c r="P423" s="27" t="s">
        <v>112</v>
      </c>
      <c r="Q423" s="27" t="s">
        <v>113</v>
      </c>
      <c r="R423" s="33">
        <v>10115</v>
      </c>
      <c r="S423" s="34">
        <v>42040</v>
      </c>
      <c r="T423" s="34">
        <v>42042</v>
      </c>
      <c r="U423" s="29">
        <v>-102.93</v>
      </c>
      <c r="V423" s="26">
        <v>15</v>
      </c>
      <c r="W423" s="29">
        <v>150.24</v>
      </c>
      <c r="X423" s="26">
        <v>35200</v>
      </c>
      <c r="Y423" s="35">
        <v>9.9</v>
      </c>
      <c r="Z423" s="1" t="s">
        <v>3014</v>
      </c>
      <c r="AA423" s="36">
        <v>11.975999999999999</v>
      </c>
      <c r="AB423" s="54">
        <v>64.603200000000015</v>
      </c>
      <c r="AC423" s="54">
        <v>5.7091199999999995</v>
      </c>
      <c r="AD423" s="36">
        <v>228.67400000000004</v>
      </c>
    </row>
    <row r="424" spans="1:30" s="37" customFormat="1" ht="15.75" customHeight="1" x14ac:dyDescent="0.2">
      <c r="A424" s="26">
        <v>2498</v>
      </c>
      <c r="B424" s="27" t="s">
        <v>929</v>
      </c>
      <c r="C424" s="27" t="s">
        <v>3094</v>
      </c>
      <c r="D424" s="28">
        <v>0.08</v>
      </c>
      <c r="E424" s="29">
        <v>1.68</v>
      </c>
      <c r="F424" s="29">
        <v>1.57</v>
      </c>
      <c r="G424" s="30" t="s">
        <v>39</v>
      </c>
      <c r="H424" s="27" t="s">
        <v>3095</v>
      </c>
      <c r="I424" s="27" t="s">
        <v>49</v>
      </c>
      <c r="J424" s="27" t="s">
        <v>50</v>
      </c>
      <c r="K424" s="27" t="s">
        <v>51</v>
      </c>
      <c r="L424" s="31" t="s">
        <v>574</v>
      </c>
      <c r="M424" s="32">
        <v>0.59</v>
      </c>
      <c r="N424" s="27" t="s">
        <v>33</v>
      </c>
      <c r="O424" s="27" t="s">
        <v>60</v>
      </c>
      <c r="P424" s="27" t="s">
        <v>90</v>
      </c>
      <c r="Q424" s="27" t="s">
        <v>890</v>
      </c>
      <c r="R424" s="33">
        <v>92024</v>
      </c>
      <c r="S424" s="34">
        <v>42040</v>
      </c>
      <c r="T424" s="34">
        <v>42041</v>
      </c>
      <c r="U424" s="29">
        <v>-46.25</v>
      </c>
      <c r="V424" s="26">
        <v>88</v>
      </c>
      <c r="W424" s="29">
        <v>148.36000000000001</v>
      </c>
      <c r="X424" s="26">
        <v>20007</v>
      </c>
      <c r="Y424" s="35">
        <v>500.91</v>
      </c>
      <c r="Z424" s="1" t="s">
        <v>3013</v>
      </c>
      <c r="AA424" s="36">
        <v>11.827199999999999</v>
      </c>
      <c r="AB424" s="54">
        <v>60.827600000000011</v>
      </c>
      <c r="AC424" s="54">
        <v>0.99468636363636365</v>
      </c>
      <c r="AD424" s="36">
        <v>181.21280000000002</v>
      </c>
    </row>
    <row r="425" spans="1:30" s="37" customFormat="1" ht="15.75" customHeight="1" x14ac:dyDescent="0.2">
      <c r="A425" s="26">
        <v>2282</v>
      </c>
      <c r="B425" s="27" t="s">
        <v>1004</v>
      </c>
      <c r="C425" s="27" t="s">
        <v>116</v>
      </c>
      <c r="D425" s="28">
        <v>0.04</v>
      </c>
      <c r="E425" s="29">
        <v>5.98</v>
      </c>
      <c r="F425" s="29">
        <v>5.79</v>
      </c>
      <c r="G425" s="30" t="s">
        <v>39</v>
      </c>
      <c r="H425" s="27" t="s">
        <v>71</v>
      </c>
      <c r="I425" s="27" t="s">
        <v>49</v>
      </c>
      <c r="J425" s="27" t="s">
        <v>88</v>
      </c>
      <c r="K425" s="27" t="s">
        <v>73</v>
      </c>
      <c r="L425" s="31" t="s">
        <v>471</v>
      </c>
      <c r="M425" s="32">
        <v>0.36</v>
      </c>
      <c r="N425" s="27" t="s">
        <v>33</v>
      </c>
      <c r="O425" s="27" t="s">
        <v>53</v>
      </c>
      <c r="P425" s="27" t="s">
        <v>357</v>
      </c>
      <c r="Q425" s="27" t="s">
        <v>1005</v>
      </c>
      <c r="R425" s="33">
        <v>53713</v>
      </c>
      <c r="S425" s="34">
        <v>42040</v>
      </c>
      <c r="T425" s="34">
        <v>42042</v>
      </c>
      <c r="U425" s="29">
        <v>-36.030799999999999</v>
      </c>
      <c r="V425" s="26">
        <v>14</v>
      </c>
      <c r="W425" s="29">
        <v>86.12</v>
      </c>
      <c r="X425" s="26">
        <v>85950</v>
      </c>
      <c r="Y425" s="35">
        <v>178.37</v>
      </c>
      <c r="Z425" s="1" t="s">
        <v>3012</v>
      </c>
      <c r="AA425" s="36">
        <v>3.3488000000000002</v>
      </c>
      <c r="AB425" s="54">
        <v>55.116800000000005</v>
      </c>
      <c r="AC425" s="54">
        <v>2.2145142857142859</v>
      </c>
      <c r="AD425" s="36">
        <v>113.012</v>
      </c>
    </row>
    <row r="426" spans="1:30" s="37" customFormat="1" ht="15.75" customHeight="1" x14ac:dyDescent="0.2">
      <c r="A426" s="26">
        <v>2359</v>
      </c>
      <c r="B426" s="27" t="s">
        <v>987</v>
      </c>
      <c r="C426" s="27" t="s">
        <v>26</v>
      </c>
      <c r="D426" s="28">
        <v>0</v>
      </c>
      <c r="E426" s="29">
        <v>7.28</v>
      </c>
      <c r="F426" s="29">
        <v>1.77</v>
      </c>
      <c r="G426" s="30" t="s">
        <v>39</v>
      </c>
      <c r="H426" s="27" t="s">
        <v>71</v>
      </c>
      <c r="I426" s="27" t="s">
        <v>49</v>
      </c>
      <c r="J426" s="27" t="s">
        <v>88</v>
      </c>
      <c r="K426" s="27" t="s">
        <v>51</v>
      </c>
      <c r="L426" s="31" t="s">
        <v>988</v>
      </c>
      <c r="M426" s="32">
        <v>0.37</v>
      </c>
      <c r="N426" s="27" t="s">
        <v>33</v>
      </c>
      <c r="O426" s="27" t="s">
        <v>34</v>
      </c>
      <c r="P426" s="27" t="s">
        <v>123</v>
      </c>
      <c r="Q426" s="27" t="s">
        <v>989</v>
      </c>
      <c r="R426" s="33">
        <v>33917</v>
      </c>
      <c r="S426" s="34">
        <v>42040</v>
      </c>
      <c r="T426" s="34">
        <v>42040</v>
      </c>
      <c r="U426" s="29">
        <v>167.16</v>
      </c>
      <c r="V426" s="26">
        <v>7</v>
      </c>
      <c r="W426" s="29">
        <v>53.42</v>
      </c>
      <c r="X426" s="26">
        <v>88265</v>
      </c>
      <c r="Y426" s="35">
        <v>64.59</v>
      </c>
      <c r="Z426" s="1" t="s">
        <v>3011</v>
      </c>
      <c r="AA426" s="36">
        <v>0</v>
      </c>
      <c r="AB426" s="54">
        <v>33.654600000000002</v>
      </c>
      <c r="AC426" s="54">
        <v>2.8236285714285714</v>
      </c>
      <c r="AD426" s="36">
        <v>-115.51</v>
      </c>
    </row>
    <row r="427" spans="1:30" s="37" customFormat="1" ht="15.75" customHeight="1" x14ac:dyDescent="0.2">
      <c r="A427" s="26">
        <v>672</v>
      </c>
      <c r="B427" s="27" t="s">
        <v>990</v>
      </c>
      <c r="C427" s="27" t="s">
        <v>48</v>
      </c>
      <c r="D427" s="28">
        <v>7.0000000000000007E-2</v>
      </c>
      <c r="E427" s="29">
        <v>2.88</v>
      </c>
      <c r="F427" s="29">
        <v>1.01</v>
      </c>
      <c r="G427" s="30" t="s">
        <v>39</v>
      </c>
      <c r="H427" s="27" t="s">
        <v>3095</v>
      </c>
      <c r="I427" s="27" t="s">
        <v>49</v>
      </c>
      <c r="J427" s="27" t="s">
        <v>50</v>
      </c>
      <c r="K427" s="27" t="s">
        <v>51</v>
      </c>
      <c r="L427" s="31" t="s">
        <v>991</v>
      </c>
      <c r="M427" s="32">
        <v>0.55000000000000004</v>
      </c>
      <c r="N427" s="27" t="s">
        <v>33</v>
      </c>
      <c r="O427" s="27" t="s">
        <v>53</v>
      </c>
      <c r="P427" s="27" t="s">
        <v>213</v>
      </c>
      <c r="Q427" s="27" t="s">
        <v>737</v>
      </c>
      <c r="R427" s="33">
        <v>50208</v>
      </c>
      <c r="S427" s="34">
        <v>42040</v>
      </c>
      <c r="T427" s="34">
        <v>42044</v>
      </c>
      <c r="U427" s="29">
        <v>9.59</v>
      </c>
      <c r="V427" s="26">
        <v>12</v>
      </c>
      <c r="W427" s="29">
        <v>34.97</v>
      </c>
      <c r="X427" s="26">
        <v>88173</v>
      </c>
      <c r="Y427" s="35">
        <v>1.5999999999999999</v>
      </c>
      <c r="Z427" s="1" t="s">
        <v>3012</v>
      </c>
      <c r="AA427" s="36">
        <v>2.4192</v>
      </c>
      <c r="AB427" s="54">
        <v>15.736499999999998</v>
      </c>
      <c r="AC427" s="54">
        <v>1.6027916666666668</v>
      </c>
      <c r="AD427" s="36">
        <v>21.950800000000001</v>
      </c>
    </row>
    <row r="428" spans="1:30" s="37" customFormat="1" ht="15.75" customHeight="1" x14ac:dyDescent="0.2">
      <c r="A428" s="26">
        <v>2270</v>
      </c>
      <c r="B428" s="27" t="s">
        <v>1038</v>
      </c>
      <c r="C428" s="27" t="s">
        <v>48</v>
      </c>
      <c r="D428" s="28">
        <v>0.08</v>
      </c>
      <c r="E428" s="29">
        <v>205.99</v>
      </c>
      <c r="F428" s="29">
        <v>2.5</v>
      </c>
      <c r="G428" s="30" t="s">
        <v>39</v>
      </c>
      <c r="H428" s="27" t="s">
        <v>3095</v>
      </c>
      <c r="I428" s="27" t="s">
        <v>41</v>
      </c>
      <c r="J428" s="27" t="s">
        <v>135</v>
      </c>
      <c r="K428" s="27" t="s">
        <v>73</v>
      </c>
      <c r="L428" s="31" t="s">
        <v>838</v>
      </c>
      <c r="M428" s="32">
        <v>0.59</v>
      </c>
      <c r="N428" s="27" t="s">
        <v>33</v>
      </c>
      <c r="O428" s="27" t="s">
        <v>34</v>
      </c>
      <c r="P428" s="27" t="s">
        <v>271</v>
      </c>
      <c r="Q428" s="27" t="s">
        <v>1040</v>
      </c>
      <c r="R428" s="33">
        <v>29662</v>
      </c>
      <c r="S428" s="34">
        <v>42041</v>
      </c>
      <c r="T428" s="34">
        <v>42046</v>
      </c>
      <c r="U428" s="29">
        <v>-156.77199999999999</v>
      </c>
      <c r="V428" s="26">
        <v>17</v>
      </c>
      <c r="W428" s="29">
        <v>2875.35</v>
      </c>
      <c r="X428" s="26">
        <v>89572</v>
      </c>
      <c r="Y428" s="35">
        <v>999.9</v>
      </c>
      <c r="Z428" s="1" t="s">
        <v>3011</v>
      </c>
      <c r="AA428" s="36">
        <v>280.14640000000003</v>
      </c>
      <c r="AB428" s="54">
        <v>1178.8935000000001</v>
      </c>
      <c r="AC428" s="54">
        <v>99.7915588235294</v>
      </c>
      <c r="AD428" s="36">
        <v>2749.4755999999998</v>
      </c>
    </row>
    <row r="429" spans="1:30" s="37" customFormat="1" ht="15.75" customHeight="1" x14ac:dyDescent="0.2">
      <c r="A429" s="26">
        <v>389</v>
      </c>
      <c r="B429" s="27" t="s">
        <v>1033</v>
      </c>
      <c r="C429" s="27" t="s">
        <v>48</v>
      </c>
      <c r="D429" s="28">
        <v>0.03</v>
      </c>
      <c r="E429" s="29">
        <v>160.97999999999999</v>
      </c>
      <c r="F429" s="29">
        <v>30</v>
      </c>
      <c r="G429" s="30" t="s">
        <v>27</v>
      </c>
      <c r="H429" s="27" t="s">
        <v>94</v>
      </c>
      <c r="I429" s="27" t="s">
        <v>29</v>
      </c>
      <c r="J429" s="27" t="s">
        <v>109</v>
      </c>
      <c r="K429" s="27" t="s">
        <v>58</v>
      </c>
      <c r="L429" s="31" t="s">
        <v>892</v>
      </c>
      <c r="M429" s="32">
        <v>0.62</v>
      </c>
      <c r="N429" s="27" t="s">
        <v>33</v>
      </c>
      <c r="O429" s="27" t="s">
        <v>53</v>
      </c>
      <c r="P429" s="27" t="s">
        <v>133</v>
      </c>
      <c r="Q429" s="27" t="s">
        <v>1034</v>
      </c>
      <c r="R429" s="33">
        <v>68502</v>
      </c>
      <c r="S429" s="34">
        <v>42041</v>
      </c>
      <c r="T429" s="34">
        <v>42045</v>
      </c>
      <c r="U429" s="29">
        <v>1273.2086999999999</v>
      </c>
      <c r="V429" s="26">
        <v>11</v>
      </c>
      <c r="W429" s="29">
        <v>1845.23</v>
      </c>
      <c r="X429" s="26">
        <v>90338</v>
      </c>
      <c r="Y429" s="35">
        <v>4.0599999999999996</v>
      </c>
      <c r="Z429" s="1" t="s">
        <v>3012</v>
      </c>
      <c r="AA429" s="36">
        <v>53.123399999999997</v>
      </c>
      <c r="AB429" s="54">
        <v>701.18740000000003</v>
      </c>
      <c r="AC429" s="54">
        <v>104.00387272727272</v>
      </c>
      <c r="AD429" s="36">
        <v>488.89790000000016</v>
      </c>
    </row>
    <row r="430" spans="1:30" s="37" customFormat="1" ht="15.75" customHeight="1" x14ac:dyDescent="0.2">
      <c r="A430" s="26">
        <v>1927</v>
      </c>
      <c r="B430" s="27" t="s">
        <v>1025</v>
      </c>
      <c r="C430" s="27" t="s">
        <v>38</v>
      </c>
      <c r="D430" s="28">
        <v>0.02</v>
      </c>
      <c r="E430" s="29">
        <v>259.70999999999998</v>
      </c>
      <c r="F430" s="29">
        <v>66.67</v>
      </c>
      <c r="G430" s="30" t="s">
        <v>27</v>
      </c>
      <c r="H430" s="27" t="s">
        <v>71</v>
      </c>
      <c r="I430" s="27" t="s">
        <v>29</v>
      </c>
      <c r="J430" s="27" t="s">
        <v>30</v>
      </c>
      <c r="K430" s="27" t="s">
        <v>31</v>
      </c>
      <c r="L430" s="31" t="s">
        <v>1026</v>
      </c>
      <c r="M430" s="32">
        <v>0.65</v>
      </c>
      <c r="N430" s="27" t="s">
        <v>33</v>
      </c>
      <c r="O430" s="27" t="s">
        <v>34</v>
      </c>
      <c r="P430" s="27" t="s">
        <v>271</v>
      </c>
      <c r="Q430" s="27" t="s">
        <v>1027</v>
      </c>
      <c r="R430" s="33">
        <v>29611</v>
      </c>
      <c r="S430" s="34">
        <v>42041</v>
      </c>
      <c r="T430" s="34">
        <v>42041</v>
      </c>
      <c r="U430" s="29">
        <v>-14.448</v>
      </c>
      <c r="V430" s="26">
        <v>8</v>
      </c>
      <c r="W430" s="29">
        <v>1757.15</v>
      </c>
      <c r="X430" s="26">
        <v>88579</v>
      </c>
      <c r="Y430" s="35">
        <v>4.4800000000000004</v>
      </c>
      <c r="Z430" s="1" t="s">
        <v>3011</v>
      </c>
      <c r="AA430" s="36">
        <v>41.553599999999996</v>
      </c>
      <c r="AB430" s="54">
        <v>615.00249999999994</v>
      </c>
      <c r="AC430" s="54">
        <v>142.7684375</v>
      </c>
      <c r="AD430" s="36">
        <v>1663.3744000000002</v>
      </c>
    </row>
    <row r="431" spans="1:30" s="37" customFormat="1" ht="15.75" customHeight="1" x14ac:dyDescent="0.2">
      <c r="A431" s="26">
        <v>421</v>
      </c>
      <c r="B431" s="27" t="s">
        <v>1015</v>
      </c>
      <c r="C431" s="27" t="s">
        <v>26</v>
      </c>
      <c r="D431" s="28">
        <v>0.09</v>
      </c>
      <c r="E431" s="29">
        <v>999.99</v>
      </c>
      <c r="F431" s="29">
        <v>13.99</v>
      </c>
      <c r="G431" s="30" t="s">
        <v>39</v>
      </c>
      <c r="H431" s="27" t="s">
        <v>3095</v>
      </c>
      <c r="I431" s="27" t="s">
        <v>41</v>
      </c>
      <c r="J431" s="27" t="s">
        <v>57</v>
      </c>
      <c r="K431" s="27" t="s">
        <v>144</v>
      </c>
      <c r="L431" s="31" t="s">
        <v>1016</v>
      </c>
      <c r="M431" s="32">
        <v>0.36</v>
      </c>
      <c r="N431" s="27" t="s">
        <v>33</v>
      </c>
      <c r="O431" s="27" t="s">
        <v>111</v>
      </c>
      <c r="P431" s="27" t="s">
        <v>397</v>
      </c>
      <c r="Q431" s="27" t="s">
        <v>1017</v>
      </c>
      <c r="R431" s="33">
        <v>7201</v>
      </c>
      <c r="S431" s="34">
        <v>42041</v>
      </c>
      <c r="T431" s="34">
        <v>42043</v>
      </c>
      <c r="U431" s="29">
        <v>-2531.4825000000001</v>
      </c>
      <c r="V431" s="26">
        <v>1</v>
      </c>
      <c r="W431" s="29">
        <v>919.09</v>
      </c>
      <c r="X431" s="26">
        <v>87700</v>
      </c>
      <c r="Y431" s="35">
        <v>4.87</v>
      </c>
      <c r="Z431" s="1" t="s">
        <v>3014</v>
      </c>
      <c r="AA431" s="36">
        <v>89.999099999999999</v>
      </c>
      <c r="AB431" s="54">
        <v>588.21760000000006</v>
      </c>
      <c r="AC431" s="54">
        <v>330.87240000000003</v>
      </c>
      <c r="AD431" s="36">
        <v>3346.5834000000004</v>
      </c>
    </row>
    <row r="432" spans="1:30" s="37" customFormat="1" ht="15.75" customHeight="1" x14ac:dyDescent="0.2">
      <c r="A432" s="26">
        <v>2135</v>
      </c>
      <c r="B432" s="27" t="s">
        <v>1028</v>
      </c>
      <c r="C432" s="27" t="s">
        <v>38</v>
      </c>
      <c r="D432" s="28">
        <v>0.01</v>
      </c>
      <c r="E432" s="29">
        <v>28.99</v>
      </c>
      <c r="F432" s="29">
        <v>8.59</v>
      </c>
      <c r="G432" s="30" t="s">
        <v>39</v>
      </c>
      <c r="H432" s="27" t="s">
        <v>71</v>
      </c>
      <c r="I432" s="27" t="s">
        <v>41</v>
      </c>
      <c r="J432" s="27" t="s">
        <v>135</v>
      </c>
      <c r="K432" s="27" t="s">
        <v>144</v>
      </c>
      <c r="L432" s="31" t="s">
        <v>1029</v>
      </c>
      <c r="M432" s="32">
        <v>0.56000000000000005</v>
      </c>
      <c r="N432" s="27" t="s">
        <v>33</v>
      </c>
      <c r="O432" s="27" t="s">
        <v>60</v>
      </c>
      <c r="P432" s="27" t="s">
        <v>640</v>
      </c>
      <c r="Q432" s="27" t="s">
        <v>1030</v>
      </c>
      <c r="R432" s="33">
        <v>88101</v>
      </c>
      <c r="S432" s="34">
        <v>42041</v>
      </c>
      <c r="T432" s="34">
        <v>42042</v>
      </c>
      <c r="U432" s="29">
        <v>196.52328</v>
      </c>
      <c r="V432" s="26">
        <v>21</v>
      </c>
      <c r="W432" s="29">
        <v>556.61</v>
      </c>
      <c r="X432" s="26">
        <v>91583</v>
      </c>
      <c r="Y432" s="35">
        <v>9.99</v>
      </c>
      <c r="Z432" s="1" t="s">
        <v>3013</v>
      </c>
      <c r="AA432" s="36">
        <v>6.0878999999999994</v>
      </c>
      <c r="AB432" s="54">
        <v>244.90839999999997</v>
      </c>
      <c r="AC432" s="54">
        <v>14.842933333333335</v>
      </c>
      <c r="AD432" s="36">
        <v>345.40881999999999</v>
      </c>
    </row>
    <row r="433" spans="1:30" s="37" customFormat="1" ht="15.75" customHeight="1" x14ac:dyDescent="0.2">
      <c r="A433" s="26">
        <v>2270</v>
      </c>
      <c r="B433" s="27" t="s">
        <v>1038</v>
      </c>
      <c r="C433" s="27" t="s">
        <v>48</v>
      </c>
      <c r="D433" s="28">
        <v>0.01</v>
      </c>
      <c r="E433" s="29">
        <v>20.48</v>
      </c>
      <c r="F433" s="29">
        <v>6.32</v>
      </c>
      <c r="G433" s="30" t="s">
        <v>39</v>
      </c>
      <c r="H433" s="27" t="s">
        <v>3095</v>
      </c>
      <c r="I433" s="27" t="s">
        <v>49</v>
      </c>
      <c r="J433" s="27" t="s">
        <v>95</v>
      </c>
      <c r="K433" s="27" t="s">
        <v>73</v>
      </c>
      <c r="L433" s="31" t="s">
        <v>1039</v>
      </c>
      <c r="M433" s="32">
        <v>0.57999999999999996</v>
      </c>
      <c r="N433" s="27" t="s">
        <v>33</v>
      </c>
      <c r="O433" s="27" t="s">
        <v>34</v>
      </c>
      <c r="P433" s="27" t="s">
        <v>271</v>
      </c>
      <c r="Q433" s="27" t="s">
        <v>1040</v>
      </c>
      <c r="R433" s="33">
        <v>29662</v>
      </c>
      <c r="S433" s="34">
        <v>42041</v>
      </c>
      <c r="T433" s="34">
        <v>42043</v>
      </c>
      <c r="U433" s="29">
        <v>711.24480000000005</v>
      </c>
      <c r="V433" s="26">
        <v>18</v>
      </c>
      <c r="W433" s="29">
        <v>375.03</v>
      </c>
      <c r="X433" s="26">
        <v>89572</v>
      </c>
      <c r="Y433" s="35">
        <v>259.69</v>
      </c>
      <c r="Z433" s="1" t="s">
        <v>3011</v>
      </c>
      <c r="AA433" s="36">
        <v>3.6864000000000003</v>
      </c>
      <c r="AB433" s="54">
        <v>157.51259999999999</v>
      </c>
      <c r="AC433" s="54">
        <v>12.084299999999997</v>
      </c>
      <c r="AD433" s="36">
        <v>-346.22120000000018</v>
      </c>
    </row>
    <row r="434" spans="1:30" s="37" customFormat="1" ht="15.75" customHeight="1" x14ac:dyDescent="0.2">
      <c r="A434" s="26">
        <v>2486</v>
      </c>
      <c r="B434" s="27" t="s">
        <v>944</v>
      </c>
      <c r="C434" s="27" t="s">
        <v>38</v>
      </c>
      <c r="D434" s="28">
        <v>0.02</v>
      </c>
      <c r="E434" s="29">
        <v>71.37</v>
      </c>
      <c r="F434" s="29">
        <v>69</v>
      </c>
      <c r="G434" s="30" t="s">
        <v>39</v>
      </c>
      <c r="H434" s="27" t="s">
        <v>3095</v>
      </c>
      <c r="I434" s="27" t="s">
        <v>29</v>
      </c>
      <c r="J434" s="27" t="s">
        <v>30</v>
      </c>
      <c r="K434" s="27" t="s">
        <v>65</v>
      </c>
      <c r="L434" s="31" t="s">
        <v>1031</v>
      </c>
      <c r="M434" s="32">
        <v>0.68</v>
      </c>
      <c r="N434" s="27" t="s">
        <v>33</v>
      </c>
      <c r="O434" s="27" t="s">
        <v>34</v>
      </c>
      <c r="P434" s="27" t="s">
        <v>75</v>
      </c>
      <c r="Q434" s="27" t="s">
        <v>946</v>
      </c>
      <c r="R434" s="33">
        <v>30458</v>
      </c>
      <c r="S434" s="34">
        <v>42041</v>
      </c>
      <c r="T434" s="34">
        <v>42042</v>
      </c>
      <c r="U434" s="29">
        <v>-439.90800000000002</v>
      </c>
      <c r="V434" s="26">
        <v>4</v>
      </c>
      <c r="W434" s="29">
        <v>237.62</v>
      </c>
      <c r="X434" s="26">
        <v>91414</v>
      </c>
      <c r="Y434" s="35">
        <v>28.979999999999997</v>
      </c>
      <c r="Z434" s="1" t="s">
        <v>3011</v>
      </c>
      <c r="AA434" s="36">
        <v>5.7096000000000009</v>
      </c>
      <c r="AB434" s="54">
        <v>76.038399999999996</v>
      </c>
      <c r="AC434" s="54">
        <v>40.395400000000002</v>
      </c>
      <c r="AD434" s="36">
        <v>602.8184</v>
      </c>
    </row>
    <row r="435" spans="1:30" s="37" customFormat="1" ht="15.75" customHeight="1" x14ac:dyDescent="0.2">
      <c r="A435" s="26">
        <v>2486</v>
      </c>
      <c r="B435" s="27" t="s">
        <v>944</v>
      </c>
      <c r="C435" s="27" t="s">
        <v>38</v>
      </c>
      <c r="D435" s="28">
        <v>0.03</v>
      </c>
      <c r="E435" s="29">
        <v>205.99</v>
      </c>
      <c r="F435" s="29">
        <v>8.99</v>
      </c>
      <c r="G435" s="30" t="s">
        <v>87</v>
      </c>
      <c r="H435" s="27" t="s">
        <v>3095</v>
      </c>
      <c r="I435" s="27" t="s">
        <v>41</v>
      </c>
      <c r="J435" s="27" t="s">
        <v>135</v>
      </c>
      <c r="K435" s="27" t="s">
        <v>73</v>
      </c>
      <c r="L435" s="31" t="s">
        <v>1032</v>
      </c>
      <c r="M435" s="32">
        <v>0.6</v>
      </c>
      <c r="N435" s="27" t="s">
        <v>33</v>
      </c>
      <c r="O435" s="27" t="s">
        <v>34</v>
      </c>
      <c r="P435" s="27" t="s">
        <v>75</v>
      </c>
      <c r="Q435" s="27" t="s">
        <v>946</v>
      </c>
      <c r="R435" s="33">
        <v>30458</v>
      </c>
      <c r="S435" s="34">
        <v>42041</v>
      </c>
      <c r="T435" s="34">
        <v>42043</v>
      </c>
      <c r="U435" s="29">
        <v>1087.7159999999999</v>
      </c>
      <c r="V435" s="26">
        <v>1</v>
      </c>
      <c r="W435" s="29">
        <v>176.42</v>
      </c>
      <c r="X435" s="26">
        <v>91414</v>
      </c>
      <c r="Y435" s="35">
        <v>71.350000000000009</v>
      </c>
      <c r="Z435" s="1" t="s">
        <v>3011</v>
      </c>
      <c r="AA435" s="36">
        <v>6.1797000000000004</v>
      </c>
      <c r="AB435" s="54">
        <v>70.567999999999998</v>
      </c>
      <c r="AC435" s="54">
        <v>105.85199999999999</v>
      </c>
      <c r="AD435" s="36">
        <v>-926.46569999999986</v>
      </c>
    </row>
    <row r="436" spans="1:30" s="37" customFormat="1" ht="15.75" customHeight="1" x14ac:dyDescent="0.2">
      <c r="A436" s="26">
        <v>1607</v>
      </c>
      <c r="B436" s="27" t="s">
        <v>1035</v>
      </c>
      <c r="C436" s="27" t="s">
        <v>48</v>
      </c>
      <c r="D436" s="28">
        <v>0.1</v>
      </c>
      <c r="E436" s="29">
        <v>5.68</v>
      </c>
      <c r="F436" s="29">
        <v>3.6</v>
      </c>
      <c r="G436" s="30" t="s">
        <v>87</v>
      </c>
      <c r="H436" s="27" t="s">
        <v>71</v>
      </c>
      <c r="I436" s="27" t="s">
        <v>49</v>
      </c>
      <c r="J436" s="27" t="s">
        <v>568</v>
      </c>
      <c r="K436" s="27" t="s">
        <v>43</v>
      </c>
      <c r="L436" s="31" t="s">
        <v>1036</v>
      </c>
      <c r="M436" s="32">
        <v>0.56000000000000005</v>
      </c>
      <c r="N436" s="27" t="s">
        <v>33</v>
      </c>
      <c r="O436" s="27" t="s">
        <v>111</v>
      </c>
      <c r="P436" s="27" t="s">
        <v>112</v>
      </c>
      <c r="Q436" s="27" t="s">
        <v>1037</v>
      </c>
      <c r="R436" s="33">
        <v>11520</v>
      </c>
      <c r="S436" s="34">
        <v>42041</v>
      </c>
      <c r="T436" s="34">
        <v>42045</v>
      </c>
      <c r="U436" s="29">
        <v>-33.2956</v>
      </c>
      <c r="V436" s="26">
        <v>21</v>
      </c>
      <c r="W436" s="29">
        <v>118.35</v>
      </c>
      <c r="X436" s="26">
        <v>87995</v>
      </c>
      <c r="Y436" s="35">
        <v>205.96</v>
      </c>
      <c r="Z436" s="1" t="s">
        <v>3014</v>
      </c>
      <c r="AA436" s="36">
        <v>11.927999999999999</v>
      </c>
      <c r="AB436" s="54">
        <v>52.073999999999991</v>
      </c>
      <c r="AC436" s="54">
        <v>3.1560000000000001</v>
      </c>
      <c r="AD436" s="36">
        <v>136.11759999999998</v>
      </c>
    </row>
    <row r="437" spans="1:30" s="37" customFormat="1" ht="15.75" customHeight="1" x14ac:dyDescent="0.2">
      <c r="A437" s="26">
        <v>1020</v>
      </c>
      <c r="B437" s="27" t="s">
        <v>1018</v>
      </c>
      <c r="C437" s="27" t="s">
        <v>26</v>
      </c>
      <c r="D437" s="28">
        <v>7.0000000000000007E-2</v>
      </c>
      <c r="E437" s="29">
        <v>4.13</v>
      </c>
      <c r="F437" s="29">
        <v>5.04</v>
      </c>
      <c r="G437" s="30" t="s">
        <v>39</v>
      </c>
      <c r="H437" s="27" t="s">
        <v>3095</v>
      </c>
      <c r="I437" s="27" t="s">
        <v>49</v>
      </c>
      <c r="J437" s="27" t="s">
        <v>72</v>
      </c>
      <c r="K437" s="27" t="s">
        <v>73</v>
      </c>
      <c r="L437" s="31" t="s">
        <v>1019</v>
      </c>
      <c r="M437" s="32">
        <v>0.38</v>
      </c>
      <c r="N437" s="27" t="s">
        <v>33</v>
      </c>
      <c r="O437" s="27" t="s">
        <v>53</v>
      </c>
      <c r="P437" s="27" t="s">
        <v>537</v>
      </c>
      <c r="Q437" s="27" t="s">
        <v>1020</v>
      </c>
      <c r="R437" s="33">
        <v>66762</v>
      </c>
      <c r="S437" s="34">
        <v>42041</v>
      </c>
      <c r="T437" s="34">
        <v>42042</v>
      </c>
      <c r="U437" s="29">
        <v>-76.424400000000006</v>
      </c>
      <c r="V437" s="26">
        <v>20</v>
      </c>
      <c r="W437" s="29">
        <v>79.06</v>
      </c>
      <c r="X437" s="26">
        <v>88634</v>
      </c>
      <c r="Y437" s="35">
        <v>160.94999999999999</v>
      </c>
      <c r="Z437" s="1" t="s">
        <v>3012</v>
      </c>
      <c r="AA437" s="36">
        <v>5.782</v>
      </c>
      <c r="AB437" s="54">
        <v>49.017200000000003</v>
      </c>
      <c r="AC437" s="54">
        <v>1.50214</v>
      </c>
      <c r="AD437" s="36">
        <v>144.66239999999999</v>
      </c>
    </row>
    <row r="438" spans="1:30" s="37" customFormat="1" ht="15.75" customHeight="1" x14ac:dyDescent="0.2">
      <c r="A438" s="26">
        <v>1533</v>
      </c>
      <c r="B438" s="27" t="s">
        <v>1022</v>
      </c>
      <c r="C438" s="27" t="s">
        <v>38</v>
      </c>
      <c r="D438" s="28">
        <v>0.02</v>
      </c>
      <c r="E438" s="29">
        <v>4.8899999999999997</v>
      </c>
      <c r="F438" s="29">
        <v>4.93</v>
      </c>
      <c r="G438" s="30" t="s">
        <v>39</v>
      </c>
      <c r="H438" s="27" t="s">
        <v>94</v>
      </c>
      <c r="I438" s="27" t="s">
        <v>41</v>
      </c>
      <c r="J438" s="27" t="s">
        <v>42</v>
      </c>
      <c r="K438" s="27" t="s">
        <v>43</v>
      </c>
      <c r="L438" s="31" t="s">
        <v>1023</v>
      </c>
      <c r="M438" s="32">
        <v>0.66</v>
      </c>
      <c r="N438" s="27" t="s">
        <v>33</v>
      </c>
      <c r="O438" s="27" t="s">
        <v>53</v>
      </c>
      <c r="P438" s="27" t="s">
        <v>80</v>
      </c>
      <c r="Q438" s="27" t="s">
        <v>1024</v>
      </c>
      <c r="R438" s="33">
        <v>63130</v>
      </c>
      <c r="S438" s="34">
        <v>42041</v>
      </c>
      <c r="T438" s="34">
        <v>42042</v>
      </c>
      <c r="U438" s="29">
        <v>-56.445999999999998</v>
      </c>
      <c r="V438" s="26">
        <v>14</v>
      </c>
      <c r="W438" s="29">
        <v>74.010000000000005</v>
      </c>
      <c r="X438" s="26">
        <v>91328</v>
      </c>
      <c r="Y438" s="35">
        <v>5.58</v>
      </c>
      <c r="Z438" s="1" t="s">
        <v>3012</v>
      </c>
      <c r="AA438" s="36">
        <v>1.3692</v>
      </c>
      <c r="AB438" s="54">
        <v>25.163399999999999</v>
      </c>
      <c r="AC438" s="54">
        <v>3.4890428571428576</v>
      </c>
      <c r="AD438" s="36">
        <v>124.1568</v>
      </c>
    </row>
    <row r="439" spans="1:30" s="37" customFormat="1" ht="15.75" customHeight="1" x14ac:dyDescent="0.2">
      <c r="A439" s="26">
        <v>1020</v>
      </c>
      <c r="B439" s="27" t="s">
        <v>1018</v>
      </c>
      <c r="C439" s="27" t="s">
        <v>26</v>
      </c>
      <c r="D439" s="28">
        <v>0</v>
      </c>
      <c r="E439" s="29">
        <v>4.4800000000000004</v>
      </c>
      <c r="F439" s="29">
        <v>2.5</v>
      </c>
      <c r="G439" s="30" t="s">
        <v>39</v>
      </c>
      <c r="H439" s="27" t="s">
        <v>3095</v>
      </c>
      <c r="I439" s="27" t="s">
        <v>49</v>
      </c>
      <c r="J439" s="27" t="s">
        <v>345</v>
      </c>
      <c r="K439" s="27" t="s">
        <v>73</v>
      </c>
      <c r="L439" s="31" t="s">
        <v>1021</v>
      </c>
      <c r="M439" s="32">
        <v>0.37</v>
      </c>
      <c r="N439" s="27" t="s">
        <v>33</v>
      </c>
      <c r="O439" s="27" t="s">
        <v>53</v>
      </c>
      <c r="P439" s="27" t="s">
        <v>537</v>
      </c>
      <c r="Q439" s="27" t="s">
        <v>1020</v>
      </c>
      <c r="R439" s="33">
        <v>66762</v>
      </c>
      <c r="S439" s="34">
        <v>42041</v>
      </c>
      <c r="T439" s="34">
        <v>42043</v>
      </c>
      <c r="U439" s="29">
        <v>8.7319999999999993</v>
      </c>
      <c r="V439" s="26">
        <v>14</v>
      </c>
      <c r="W439" s="29">
        <v>65.14</v>
      </c>
      <c r="X439" s="26">
        <v>88634</v>
      </c>
      <c r="Y439" s="35">
        <v>20.47</v>
      </c>
      <c r="Z439" s="1" t="s">
        <v>3012</v>
      </c>
      <c r="AA439" s="36">
        <v>0</v>
      </c>
      <c r="AB439" s="54">
        <v>41.038200000000003</v>
      </c>
      <c r="AC439" s="54">
        <v>1.721557142857143</v>
      </c>
      <c r="AD439" s="36">
        <v>53.908000000000001</v>
      </c>
    </row>
    <row r="440" spans="1:30" s="37" customFormat="1" ht="15.75" customHeight="1" x14ac:dyDescent="0.2">
      <c r="A440" s="26">
        <v>1533</v>
      </c>
      <c r="B440" s="27" t="s">
        <v>1022</v>
      </c>
      <c r="C440" s="27" t="s">
        <v>38</v>
      </c>
      <c r="D440" s="28">
        <v>7.0000000000000007E-2</v>
      </c>
      <c r="E440" s="29">
        <v>10.06</v>
      </c>
      <c r="F440" s="29">
        <v>2.06</v>
      </c>
      <c r="G440" s="30" t="s">
        <v>39</v>
      </c>
      <c r="H440" s="27" t="s">
        <v>94</v>
      </c>
      <c r="I440" s="27" t="s">
        <v>49</v>
      </c>
      <c r="J440" s="27" t="s">
        <v>88</v>
      </c>
      <c r="K440" s="27" t="s">
        <v>51</v>
      </c>
      <c r="L440" s="31" t="s">
        <v>173</v>
      </c>
      <c r="M440" s="32">
        <v>0.39</v>
      </c>
      <c r="N440" s="27" t="s">
        <v>33</v>
      </c>
      <c r="O440" s="27" t="s">
        <v>53</v>
      </c>
      <c r="P440" s="27" t="s">
        <v>80</v>
      </c>
      <c r="Q440" s="27" t="s">
        <v>1024</v>
      </c>
      <c r="R440" s="33">
        <v>63130</v>
      </c>
      <c r="S440" s="34">
        <v>42041</v>
      </c>
      <c r="T440" s="34">
        <v>42042</v>
      </c>
      <c r="U440" s="29">
        <v>33.189</v>
      </c>
      <c r="V440" s="26">
        <v>5</v>
      </c>
      <c r="W440" s="29">
        <v>48.1</v>
      </c>
      <c r="X440" s="26">
        <v>91328</v>
      </c>
      <c r="Y440" s="35">
        <v>1.77</v>
      </c>
      <c r="Z440" s="1" t="s">
        <v>3012</v>
      </c>
      <c r="AA440" s="36">
        <v>3.5210000000000004</v>
      </c>
      <c r="AB440" s="54">
        <v>29.341000000000001</v>
      </c>
      <c r="AC440" s="54">
        <v>3.7518000000000007</v>
      </c>
      <c r="AD440" s="36">
        <v>9.3299999999999983</v>
      </c>
    </row>
    <row r="441" spans="1:30" s="37" customFormat="1" ht="15.75" customHeight="1" x14ac:dyDescent="0.2">
      <c r="A441" s="26">
        <v>2270</v>
      </c>
      <c r="B441" s="27" t="s">
        <v>1038</v>
      </c>
      <c r="C441" s="27" t="s">
        <v>48</v>
      </c>
      <c r="D441" s="28">
        <v>0.09</v>
      </c>
      <c r="E441" s="29">
        <v>1.86</v>
      </c>
      <c r="F441" s="29">
        <v>2.58</v>
      </c>
      <c r="G441" s="30" t="s">
        <v>39</v>
      </c>
      <c r="H441" s="27" t="s">
        <v>3095</v>
      </c>
      <c r="I441" s="27" t="s">
        <v>49</v>
      </c>
      <c r="J441" s="27" t="s">
        <v>176</v>
      </c>
      <c r="K441" s="27" t="s">
        <v>51</v>
      </c>
      <c r="L441" s="31" t="s">
        <v>580</v>
      </c>
      <c r="M441" s="32">
        <v>0.82</v>
      </c>
      <c r="N441" s="27" t="s">
        <v>33</v>
      </c>
      <c r="O441" s="27" t="s">
        <v>34</v>
      </c>
      <c r="P441" s="27" t="s">
        <v>271</v>
      </c>
      <c r="Q441" s="27" t="s">
        <v>1040</v>
      </c>
      <c r="R441" s="33">
        <v>29662</v>
      </c>
      <c r="S441" s="34">
        <v>42041</v>
      </c>
      <c r="T441" s="34">
        <v>42046</v>
      </c>
      <c r="U441" s="29">
        <v>-1084.8469631999999</v>
      </c>
      <c r="V441" s="26">
        <v>12</v>
      </c>
      <c r="W441" s="29">
        <v>22.11</v>
      </c>
      <c r="X441" s="26">
        <v>89572</v>
      </c>
      <c r="Y441" s="35">
        <v>205.91</v>
      </c>
      <c r="Z441" s="1" t="s">
        <v>3011</v>
      </c>
      <c r="AA441" s="36">
        <v>2.0087999999999999</v>
      </c>
      <c r="AB441" s="54">
        <v>3.9798000000000009</v>
      </c>
      <c r="AC441" s="54">
        <v>1.51085</v>
      </c>
      <c r="AD441" s="36">
        <v>1102.3681631999998</v>
      </c>
    </row>
    <row r="442" spans="1:30" s="37" customFormat="1" ht="15.75" customHeight="1" x14ac:dyDescent="0.2">
      <c r="A442" s="26">
        <v>698</v>
      </c>
      <c r="B442" s="27" t="s">
        <v>1043</v>
      </c>
      <c r="C442" s="27" t="s">
        <v>26</v>
      </c>
      <c r="D442" s="28">
        <v>0.08</v>
      </c>
      <c r="E442" s="29">
        <v>14.81</v>
      </c>
      <c r="F442" s="29">
        <v>13.32</v>
      </c>
      <c r="G442" s="30" t="s">
        <v>39</v>
      </c>
      <c r="H442" s="27" t="s">
        <v>94</v>
      </c>
      <c r="I442" s="27" t="s">
        <v>49</v>
      </c>
      <c r="J442" s="27" t="s">
        <v>95</v>
      </c>
      <c r="K442" s="27" t="s">
        <v>73</v>
      </c>
      <c r="L442" s="31" t="s">
        <v>594</v>
      </c>
      <c r="M442" s="32">
        <v>0.43</v>
      </c>
      <c r="N442" s="27" t="s">
        <v>33</v>
      </c>
      <c r="O442" s="27" t="s">
        <v>60</v>
      </c>
      <c r="P442" s="27" t="s">
        <v>67</v>
      </c>
      <c r="Q442" s="27" t="s">
        <v>142</v>
      </c>
      <c r="R442" s="33">
        <v>98105</v>
      </c>
      <c r="S442" s="34">
        <v>42042</v>
      </c>
      <c r="T442" s="34">
        <v>42044</v>
      </c>
      <c r="U442" s="29">
        <v>-253.11</v>
      </c>
      <c r="V442" s="26">
        <v>79</v>
      </c>
      <c r="W442" s="29">
        <v>1154.1199999999999</v>
      </c>
      <c r="X442" s="26">
        <v>53410</v>
      </c>
      <c r="Y442" s="35">
        <v>14.73</v>
      </c>
      <c r="Z442" s="1" t="s">
        <v>3013</v>
      </c>
      <c r="AA442" s="36">
        <v>93.59920000000001</v>
      </c>
      <c r="AB442" s="54">
        <v>657.84839999999997</v>
      </c>
      <c r="AC442" s="54">
        <v>6.281918987341772</v>
      </c>
      <c r="AD442" s="36">
        <v>1300.3108</v>
      </c>
    </row>
    <row r="443" spans="1:30" s="37" customFormat="1" ht="15.75" customHeight="1" x14ac:dyDescent="0.2">
      <c r="A443" s="26">
        <v>1026</v>
      </c>
      <c r="B443" s="27" t="s">
        <v>1055</v>
      </c>
      <c r="C443" s="27" t="s">
        <v>3094</v>
      </c>
      <c r="D443" s="28">
        <v>0.08</v>
      </c>
      <c r="E443" s="29">
        <v>65.989999999999995</v>
      </c>
      <c r="F443" s="29">
        <v>5.92</v>
      </c>
      <c r="G443" s="30" t="s">
        <v>39</v>
      </c>
      <c r="H443" s="27" t="s">
        <v>3095</v>
      </c>
      <c r="I443" s="27" t="s">
        <v>41</v>
      </c>
      <c r="J443" s="27" t="s">
        <v>135</v>
      </c>
      <c r="K443" s="27" t="s">
        <v>73</v>
      </c>
      <c r="L443" s="31" t="s">
        <v>1056</v>
      </c>
      <c r="M443" s="32">
        <v>0.57999999999999996</v>
      </c>
      <c r="N443" s="27" t="s">
        <v>33</v>
      </c>
      <c r="O443" s="27" t="s">
        <v>111</v>
      </c>
      <c r="P443" s="27" t="s">
        <v>112</v>
      </c>
      <c r="Q443" s="27" t="s">
        <v>1057</v>
      </c>
      <c r="R443" s="33">
        <v>11722</v>
      </c>
      <c r="S443" s="34">
        <v>42042</v>
      </c>
      <c r="T443" s="34">
        <v>42042</v>
      </c>
      <c r="U443" s="29">
        <v>624.40164000000004</v>
      </c>
      <c r="V443" s="26">
        <v>22</v>
      </c>
      <c r="W443" s="29">
        <v>1137.5999999999999</v>
      </c>
      <c r="X443" s="26">
        <v>89005</v>
      </c>
      <c r="Y443" s="35">
        <v>14.73</v>
      </c>
      <c r="Z443" s="1" t="s">
        <v>3014</v>
      </c>
      <c r="AA443" s="36">
        <v>116.14239999999998</v>
      </c>
      <c r="AB443" s="54">
        <v>477.79200000000003</v>
      </c>
      <c r="AC443" s="54">
        <v>29.991272727272722</v>
      </c>
      <c r="AD443" s="36">
        <v>391.13595999999995</v>
      </c>
    </row>
    <row r="444" spans="1:30" s="37" customFormat="1" ht="15.75" customHeight="1" x14ac:dyDescent="0.2">
      <c r="A444" s="26">
        <v>1121</v>
      </c>
      <c r="B444" s="27" t="s">
        <v>1047</v>
      </c>
      <c r="C444" s="27" t="s">
        <v>48</v>
      </c>
      <c r="D444" s="28">
        <v>0.08</v>
      </c>
      <c r="E444" s="29">
        <v>125.99</v>
      </c>
      <c r="F444" s="29">
        <v>7.69</v>
      </c>
      <c r="G444" s="30" t="s">
        <v>39</v>
      </c>
      <c r="H444" s="27" t="s">
        <v>40</v>
      </c>
      <c r="I444" s="27" t="s">
        <v>41</v>
      </c>
      <c r="J444" s="27" t="s">
        <v>135</v>
      </c>
      <c r="K444" s="27" t="s">
        <v>73</v>
      </c>
      <c r="L444" s="31" t="s">
        <v>1049</v>
      </c>
      <c r="M444" s="32">
        <v>0.57999999999999996</v>
      </c>
      <c r="N444" s="27" t="s">
        <v>33</v>
      </c>
      <c r="O444" s="27" t="s">
        <v>60</v>
      </c>
      <c r="P444" s="27" t="s">
        <v>90</v>
      </c>
      <c r="Q444" s="27" t="s">
        <v>1048</v>
      </c>
      <c r="R444" s="33">
        <v>92592</v>
      </c>
      <c r="S444" s="34">
        <v>42042</v>
      </c>
      <c r="T444" s="34">
        <v>42044</v>
      </c>
      <c r="U444" s="29">
        <v>377.154</v>
      </c>
      <c r="V444" s="26">
        <v>7</v>
      </c>
      <c r="W444" s="29">
        <v>703.46</v>
      </c>
      <c r="X444" s="26">
        <v>86767</v>
      </c>
      <c r="Y444" s="35">
        <v>41.839999999999996</v>
      </c>
      <c r="Z444" s="1" t="s">
        <v>3013</v>
      </c>
      <c r="AA444" s="36">
        <v>70.554400000000001</v>
      </c>
      <c r="AB444" s="54">
        <v>295.45320000000004</v>
      </c>
      <c r="AC444" s="54">
        <v>58.286685714285717</v>
      </c>
      <c r="AD444" s="36">
        <v>248.06160000000006</v>
      </c>
    </row>
    <row r="445" spans="1:30" s="37" customFormat="1" ht="15.75" customHeight="1" x14ac:dyDescent="0.2">
      <c r="A445" s="26">
        <v>2813</v>
      </c>
      <c r="B445" s="27" t="s">
        <v>1052</v>
      </c>
      <c r="C445" s="27" t="s">
        <v>116</v>
      </c>
      <c r="D445" s="28">
        <v>7.0000000000000007E-2</v>
      </c>
      <c r="E445" s="29">
        <v>30.56</v>
      </c>
      <c r="F445" s="29">
        <v>2.99</v>
      </c>
      <c r="G445" s="30" t="s">
        <v>39</v>
      </c>
      <c r="H445" s="27" t="s">
        <v>94</v>
      </c>
      <c r="I445" s="27" t="s">
        <v>49</v>
      </c>
      <c r="J445" s="27" t="s">
        <v>72</v>
      </c>
      <c r="K445" s="27" t="s">
        <v>73</v>
      </c>
      <c r="L445" s="31" t="s">
        <v>1053</v>
      </c>
      <c r="M445" s="32">
        <v>0.35</v>
      </c>
      <c r="N445" s="27" t="s">
        <v>33</v>
      </c>
      <c r="O445" s="27" t="s">
        <v>34</v>
      </c>
      <c r="P445" s="27" t="s">
        <v>400</v>
      </c>
      <c r="Q445" s="27" t="s">
        <v>1054</v>
      </c>
      <c r="R445" s="33">
        <v>37311</v>
      </c>
      <c r="S445" s="34">
        <v>42042</v>
      </c>
      <c r="T445" s="34">
        <v>42042</v>
      </c>
      <c r="U445" s="29">
        <v>-95.618600000000001</v>
      </c>
      <c r="V445" s="26">
        <v>12</v>
      </c>
      <c r="W445" s="29">
        <v>364.92</v>
      </c>
      <c r="X445" s="26">
        <v>88819</v>
      </c>
      <c r="Y445" s="35">
        <v>6.6400000000000006</v>
      </c>
      <c r="Z445" s="1" t="s">
        <v>3011</v>
      </c>
      <c r="AA445" s="36">
        <v>25.670400000000001</v>
      </c>
      <c r="AB445" s="54">
        <v>237.19800000000001</v>
      </c>
      <c r="AC445" s="54">
        <v>10.6435</v>
      </c>
      <c r="AD445" s="36">
        <v>431.87819999999999</v>
      </c>
    </row>
    <row r="446" spans="1:30" s="37" customFormat="1" ht="15.75" customHeight="1" x14ac:dyDescent="0.2">
      <c r="A446" s="26">
        <v>1723</v>
      </c>
      <c r="B446" s="27" t="s">
        <v>888</v>
      </c>
      <c r="C446" s="27" t="s">
        <v>116</v>
      </c>
      <c r="D446" s="28">
        <v>0.05</v>
      </c>
      <c r="E446" s="29">
        <v>6.68</v>
      </c>
      <c r="F446" s="29">
        <v>5.66</v>
      </c>
      <c r="G446" s="30" t="s">
        <v>39</v>
      </c>
      <c r="H446" s="27" t="s">
        <v>94</v>
      </c>
      <c r="I446" s="27" t="s">
        <v>49</v>
      </c>
      <c r="J446" s="27" t="s">
        <v>88</v>
      </c>
      <c r="K446" s="27" t="s">
        <v>73</v>
      </c>
      <c r="L446" s="31" t="s">
        <v>1050</v>
      </c>
      <c r="M446" s="32">
        <v>0.37</v>
      </c>
      <c r="N446" s="27" t="s">
        <v>33</v>
      </c>
      <c r="O446" s="27" t="s">
        <v>60</v>
      </c>
      <c r="P446" s="27" t="s">
        <v>90</v>
      </c>
      <c r="Q446" s="27" t="s">
        <v>890</v>
      </c>
      <c r="R446" s="33">
        <v>92037</v>
      </c>
      <c r="S446" s="34">
        <v>42042</v>
      </c>
      <c r="T446" s="34">
        <v>42044</v>
      </c>
      <c r="U446" s="29">
        <v>-66.48</v>
      </c>
      <c r="V446" s="26">
        <v>46</v>
      </c>
      <c r="W446" s="29">
        <v>320.93</v>
      </c>
      <c r="X446" s="26">
        <v>44002</v>
      </c>
      <c r="Y446" s="35">
        <v>19.940000000000001</v>
      </c>
      <c r="Z446" s="1" t="s">
        <v>3013</v>
      </c>
      <c r="AA446" s="36">
        <v>15.364000000000001</v>
      </c>
      <c r="AB446" s="54">
        <v>202.1859</v>
      </c>
      <c r="AC446" s="54">
        <v>2.5813934782608694</v>
      </c>
      <c r="AD446" s="36">
        <v>366.38600000000002</v>
      </c>
    </row>
    <row r="447" spans="1:30" s="37" customFormat="1" ht="15.75" customHeight="1" x14ac:dyDescent="0.2">
      <c r="A447" s="26">
        <v>697</v>
      </c>
      <c r="B447" s="27" t="s">
        <v>1041</v>
      </c>
      <c r="C447" s="27" t="s">
        <v>26</v>
      </c>
      <c r="D447" s="28">
        <v>0.08</v>
      </c>
      <c r="E447" s="29">
        <v>14.81</v>
      </c>
      <c r="F447" s="29">
        <v>13.32</v>
      </c>
      <c r="G447" s="30" t="s">
        <v>39</v>
      </c>
      <c r="H447" s="27" t="s">
        <v>94</v>
      </c>
      <c r="I447" s="27" t="s">
        <v>49</v>
      </c>
      <c r="J447" s="27" t="s">
        <v>95</v>
      </c>
      <c r="K447" s="27" t="s">
        <v>73</v>
      </c>
      <c r="L447" s="31" t="s">
        <v>594</v>
      </c>
      <c r="M447" s="32">
        <v>0.43</v>
      </c>
      <c r="N447" s="27" t="s">
        <v>33</v>
      </c>
      <c r="O447" s="27" t="s">
        <v>53</v>
      </c>
      <c r="P447" s="27" t="s">
        <v>54</v>
      </c>
      <c r="Q447" s="27" t="s">
        <v>1042</v>
      </c>
      <c r="R447" s="33">
        <v>46312</v>
      </c>
      <c r="S447" s="34">
        <v>42042</v>
      </c>
      <c r="T447" s="34">
        <v>42044</v>
      </c>
      <c r="U447" s="29">
        <v>-131.6172</v>
      </c>
      <c r="V447" s="26">
        <v>20</v>
      </c>
      <c r="W447" s="29">
        <v>292.18</v>
      </c>
      <c r="X447" s="26">
        <v>89849</v>
      </c>
      <c r="Y447" s="35">
        <v>125.91</v>
      </c>
      <c r="Z447" s="1" t="s">
        <v>3012</v>
      </c>
      <c r="AA447" s="36">
        <v>23.696000000000002</v>
      </c>
      <c r="AB447" s="54">
        <v>166.54260000000002</v>
      </c>
      <c r="AC447" s="54">
        <v>6.2818699999999996</v>
      </c>
      <c r="AD447" s="36">
        <v>386.78120000000001</v>
      </c>
    </row>
    <row r="448" spans="1:30" s="37" customFormat="1" ht="15.75" customHeight="1" x14ac:dyDescent="0.2">
      <c r="A448" s="26">
        <v>1723</v>
      </c>
      <c r="B448" s="27" t="s">
        <v>888</v>
      </c>
      <c r="C448" s="27" t="s">
        <v>116</v>
      </c>
      <c r="D448" s="28">
        <v>0.03</v>
      </c>
      <c r="E448" s="29">
        <v>17.7</v>
      </c>
      <c r="F448" s="29">
        <v>9.4700000000000006</v>
      </c>
      <c r="G448" s="30" t="s">
        <v>39</v>
      </c>
      <c r="H448" s="27" t="s">
        <v>94</v>
      </c>
      <c r="I448" s="27" t="s">
        <v>49</v>
      </c>
      <c r="J448" s="27" t="s">
        <v>78</v>
      </c>
      <c r="K448" s="27" t="s">
        <v>73</v>
      </c>
      <c r="L448" s="31" t="s">
        <v>1051</v>
      </c>
      <c r="M448" s="32">
        <v>0.59</v>
      </c>
      <c r="N448" s="27" t="s">
        <v>33</v>
      </c>
      <c r="O448" s="27" t="s">
        <v>60</v>
      </c>
      <c r="P448" s="27" t="s">
        <v>90</v>
      </c>
      <c r="Q448" s="27" t="s">
        <v>890</v>
      </c>
      <c r="R448" s="33">
        <v>92037</v>
      </c>
      <c r="S448" s="34">
        <v>42042</v>
      </c>
      <c r="T448" s="34">
        <v>42042</v>
      </c>
      <c r="U448" s="29">
        <v>-52.33</v>
      </c>
      <c r="V448" s="26">
        <v>14</v>
      </c>
      <c r="W448" s="29">
        <v>261.85000000000002</v>
      </c>
      <c r="X448" s="26">
        <v>44002</v>
      </c>
      <c r="Y448" s="35">
        <v>6.63</v>
      </c>
      <c r="Z448" s="1" t="s">
        <v>3013</v>
      </c>
      <c r="AA448" s="36">
        <v>7.4339999999999993</v>
      </c>
      <c r="AB448" s="54">
        <v>107.35850000000002</v>
      </c>
      <c r="AC448" s="54">
        <v>11.035107142857143</v>
      </c>
      <c r="AD448" s="36">
        <v>297.27600000000001</v>
      </c>
    </row>
    <row r="449" spans="1:30" s="37" customFormat="1" ht="15.75" customHeight="1" x14ac:dyDescent="0.2">
      <c r="A449" s="26">
        <v>2626</v>
      </c>
      <c r="B449" s="27" t="s">
        <v>1044</v>
      </c>
      <c r="C449" s="27" t="s">
        <v>38</v>
      </c>
      <c r="D449" s="28">
        <v>0.1</v>
      </c>
      <c r="E449" s="29">
        <v>41.94</v>
      </c>
      <c r="F449" s="29">
        <v>2.99</v>
      </c>
      <c r="G449" s="30" t="s">
        <v>39</v>
      </c>
      <c r="H449" s="27" t="s">
        <v>40</v>
      </c>
      <c r="I449" s="27" t="s">
        <v>49</v>
      </c>
      <c r="J449" s="27" t="s">
        <v>72</v>
      </c>
      <c r="K449" s="27" t="s">
        <v>73</v>
      </c>
      <c r="L449" s="31" t="s">
        <v>1045</v>
      </c>
      <c r="M449" s="32">
        <v>0.35</v>
      </c>
      <c r="N449" s="27" t="s">
        <v>33</v>
      </c>
      <c r="O449" s="27" t="s">
        <v>60</v>
      </c>
      <c r="P449" s="27" t="s">
        <v>90</v>
      </c>
      <c r="Q449" s="27" t="s">
        <v>771</v>
      </c>
      <c r="R449" s="33">
        <v>94025</v>
      </c>
      <c r="S449" s="34">
        <v>42042</v>
      </c>
      <c r="T449" s="34">
        <v>42043</v>
      </c>
      <c r="U449" s="29">
        <v>164.08199999999999</v>
      </c>
      <c r="V449" s="26">
        <v>6</v>
      </c>
      <c r="W449" s="29">
        <v>237.8</v>
      </c>
      <c r="X449" s="26">
        <v>90927</v>
      </c>
      <c r="Y449" s="35">
        <v>17.669999999999998</v>
      </c>
      <c r="Z449" s="1" t="s">
        <v>3013</v>
      </c>
      <c r="AA449" s="36">
        <v>25.164000000000001</v>
      </c>
      <c r="AB449" s="54">
        <v>154.57000000000002</v>
      </c>
      <c r="AC449" s="54">
        <v>13.871666666666666</v>
      </c>
      <c r="AD449" s="36">
        <v>45.564000000000021</v>
      </c>
    </row>
    <row r="450" spans="1:30" s="37" customFormat="1" ht="15.75" customHeight="1" x14ac:dyDescent="0.2">
      <c r="A450" s="26">
        <v>1121</v>
      </c>
      <c r="B450" s="27" t="s">
        <v>1047</v>
      </c>
      <c r="C450" s="27" t="s">
        <v>48</v>
      </c>
      <c r="D450" s="28">
        <v>0.04</v>
      </c>
      <c r="E450" s="29">
        <v>19.98</v>
      </c>
      <c r="F450" s="29">
        <v>8.68</v>
      </c>
      <c r="G450" s="30" t="s">
        <v>39</v>
      </c>
      <c r="H450" s="27" t="s">
        <v>40</v>
      </c>
      <c r="I450" s="27" t="s">
        <v>49</v>
      </c>
      <c r="J450" s="27" t="s">
        <v>88</v>
      </c>
      <c r="K450" s="27" t="s">
        <v>73</v>
      </c>
      <c r="L450" s="31" t="s">
        <v>696</v>
      </c>
      <c r="M450" s="32">
        <v>0.37</v>
      </c>
      <c r="N450" s="27" t="s">
        <v>33</v>
      </c>
      <c r="O450" s="27" t="s">
        <v>60</v>
      </c>
      <c r="P450" s="27" t="s">
        <v>90</v>
      </c>
      <c r="Q450" s="27" t="s">
        <v>1048</v>
      </c>
      <c r="R450" s="33">
        <v>92592</v>
      </c>
      <c r="S450" s="34">
        <v>42042</v>
      </c>
      <c r="T450" s="34">
        <v>42049</v>
      </c>
      <c r="U450" s="29">
        <v>108</v>
      </c>
      <c r="V450" s="26">
        <v>8</v>
      </c>
      <c r="W450" s="29">
        <v>168.04</v>
      </c>
      <c r="X450" s="26">
        <v>86767</v>
      </c>
      <c r="Y450" s="35">
        <v>30.49</v>
      </c>
      <c r="Z450" s="1" t="s">
        <v>3013</v>
      </c>
      <c r="AA450" s="36">
        <v>6.3936000000000002</v>
      </c>
      <c r="AB450" s="54">
        <v>105.8652</v>
      </c>
      <c r="AC450" s="54">
        <v>7.7718499999999997</v>
      </c>
      <c r="AD450" s="36">
        <v>44.966399999999979</v>
      </c>
    </row>
    <row r="451" spans="1:30" s="37" customFormat="1" ht="15.75" customHeight="1" x14ac:dyDescent="0.2">
      <c r="A451" s="26">
        <v>3351</v>
      </c>
      <c r="B451" s="27" t="s">
        <v>956</v>
      </c>
      <c r="C451" s="27" t="s">
        <v>38</v>
      </c>
      <c r="D451" s="28">
        <v>0.06</v>
      </c>
      <c r="E451" s="29">
        <v>6.7</v>
      </c>
      <c r="F451" s="29">
        <v>1.56</v>
      </c>
      <c r="G451" s="30" t="s">
        <v>87</v>
      </c>
      <c r="H451" s="27" t="s">
        <v>3095</v>
      </c>
      <c r="I451" s="27" t="s">
        <v>49</v>
      </c>
      <c r="J451" s="27" t="s">
        <v>50</v>
      </c>
      <c r="K451" s="27" t="s">
        <v>51</v>
      </c>
      <c r="L451" s="31" t="s">
        <v>1046</v>
      </c>
      <c r="M451" s="32">
        <v>0.52</v>
      </c>
      <c r="N451" s="27" t="s">
        <v>33</v>
      </c>
      <c r="O451" s="27" t="s">
        <v>60</v>
      </c>
      <c r="P451" s="27" t="s">
        <v>67</v>
      </c>
      <c r="Q451" s="27" t="s">
        <v>957</v>
      </c>
      <c r="R451" s="33">
        <v>99301</v>
      </c>
      <c r="S451" s="34">
        <v>42042</v>
      </c>
      <c r="T451" s="34">
        <v>42044</v>
      </c>
      <c r="U451" s="29">
        <v>40.6556</v>
      </c>
      <c r="V451" s="26">
        <v>12</v>
      </c>
      <c r="W451" s="29">
        <v>79.39</v>
      </c>
      <c r="X451" s="26">
        <v>91298</v>
      </c>
      <c r="Y451" s="35">
        <v>65.91</v>
      </c>
      <c r="Z451" s="1" t="s">
        <v>3013</v>
      </c>
      <c r="AA451" s="36">
        <v>4.8239999999999998</v>
      </c>
      <c r="AB451" s="54">
        <v>38.107199999999999</v>
      </c>
      <c r="AC451" s="54">
        <v>3.4402333333333335</v>
      </c>
      <c r="AD451" s="36">
        <v>32.3504</v>
      </c>
    </row>
    <row r="452" spans="1:30" s="37" customFormat="1" ht="15.75" customHeight="1" x14ac:dyDescent="0.2">
      <c r="A452" s="26">
        <v>471</v>
      </c>
      <c r="B452" s="27" t="s">
        <v>1062</v>
      </c>
      <c r="C452" s="27" t="s">
        <v>3094</v>
      </c>
      <c r="D452" s="28">
        <v>7.0000000000000007E-2</v>
      </c>
      <c r="E452" s="29">
        <v>179.99</v>
      </c>
      <c r="F452" s="29">
        <v>19.989999999999998</v>
      </c>
      <c r="G452" s="30" t="s">
        <v>87</v>
      </c>
      <c r="H452" s="27" t="s">
        <v>40</v>
      </c>
      <c r="I452" s="27" t="s">
        <v>41</v>
      </c>
      <c r="J452" s="27" t="s">
        <v>42</v>
      </c>
      <c r="K452" s="27" t="s">
        <v>73</v>
      </c>
      <c r="L452" s="31" t="s">
        <v>715</v>
      </c>
      <c r="M452" s="32">
        <v>0.48</v>
      </c>
      <c r="N452" s="27" t="s">
        <v>33</v>
      </c>
      <c r="O452" s="27" t="s">
        <v>34</v>
      </c>
      <c r="P452" s="27" t="s">
        <v>75</v>
      </c>
      <c r="Q452" s="27" t="s">
        <v>361</v>
      </c>
      <c r="R452" s="33">
        <v>30318</v>
      </c>
      <c r="S452" s="34">
        <v>42043</v>
      </c>
      <c r="T452" s="34">
        <v>42043</v>
      </c>
      <c r="U452" s="29">
        <v>-568.53510000000006</v>
      </c>
      <c r="V452" s="26">
        <v>4</v>
      </c>
      <c r="W452" s="29">
        <v>718.03</v>
      </c>
      <c r="X452" s="26">
        <v>3138</v>
      </c>
      <c r="Y452" s="35">
        <v>105.88000000000001</v>
      </c>
      <c r="Z452" s="1" t="s">
        <v>3011</v>
      </c>
      <c r="AA452" s="36">
        <v>50.397200000000005</v>
      </c>
      <c r="AB452" s="54">
        <v>373.37560000000002</v>
      </c>
      <c r="AC452" s="54">
        <v>86.163599999999988</v>
      </c>
      <c r="AD452" s="36">
        <v>1216.1779000000001</v>
      </c>
    </row>
    <row r="453" spans="1:30" s="37" customFormat="1" ht="15.75" customHeight="1" x14ac:dyDescent="0.2">
      <c r="A453" s="26">
        <v>3403</v>
      </c>
      <c r="B453" s="27" t="s">
        <v>1058</v>
      </c>
      <c r="C453" s="27" t="s">
        <v>38</v>
      </c>
      <c r="D453" s="28">
        <v>0.1</v>
      </c>
      <c r="E453" s="29">
        <v>105.98</v>
      </c>
      <c r="F453" s="29">
        <v>13.99</v>
      </c>
      <c r="G453" s="30" t="s">
        <v>87</v>
      </c>
      <c r="H453" s="27" t="s">
        <v>40</v>
      </c>
      <c r="I453" s="27" t="s">
        <v>29</v>
      </c>
      <c r="J453" s="27" t="s">
        <v>126</v>
      </c>
      <c r="K453" s="27" t="s">
        <v>144</v>
      </c>
      <c r="L453" s="31" t="s">
        <v>1059</v>
      </c>
      <c r="M453" s="32">
        <v>0.65</v>
      </c>
      <c r="N453" s="27" t="s">
        <v>33</v>
      </c>
      <c r="O453" s="27" t="s">
        <v>60</v>
      </c>
      <c r="P453" s="27" t="s">
        <v>1060</v>
      </c>
      <c r="Q453" s="27" t="s">
        <v>1061</v>
      </c>
      <c r="R453" s="33">
        <v>82001</v>
      </c>
      <c r="S453" s="34">
        <v>42043</v>
      </c>
      <c r="T453" s="34">
        <v>42046</v>
      </c>
      <c r="U453" s="29">
        <v>349.48500000000001</v>
      </c>
      <c r="V453" s="26">
        <v>5</v>
      </c>
      <c r="W453" s="29">
        <v>506.5</v>
      </c>
      <c r="X453" s="26">
        <v>87530</v>
      </c>
      <c r="Y453" s="35">
        <v>179.92000000000002</v>
      </c>
      <c r="Z453" s="1" t="s">
        <v>3013</v>
      </c>
      <c r="AA453" s="36">
        <v>52.99</v>
      </c>
      <c r="AB453" s="54">
        <v>177.27499999999998</v>
      </c>
      <c r="AC453" s="54">
        <v>65.844999999999999</v>
      </c>
      <c r="AD453" s="36">
        <v>90.034999999999968</v>
      </c>
    </row>
    <row r="454" spans="1:30" s="37" customFormat="1" ht="15.75" customHeight="1" x14ac:dyDescent="0.2">
      <c r="A454" s="26">
        <v>472</v>
      </c>
      <c r="B454" s="27" t="s">
        <v>1063</v>
      </c>
      <c r="C454" s="27" t="s">
        <v>3094</v>
      </c>
      <c r="D454" s="28">
        <v>7.0000000000000007E-2</v>
      </c>
      <c r="E454" s="29">
        <v>179.99</v>
      </c>
      <c r="F454" s="29">
        <v>19.989999999999998</v>
      </c>
      <c r="G454" s="30" t="s">
        <v>87</v>
      </c>
      <c r="H454" s="27" t="s">
        <v>40</v>
      </c>
      <c r="I454" s="27" t="s">
        <v>41</v>
      </c>
      <c r="J454" s="27" t="s">
        <v>42</v>
      </c>
      <c r="K454" s="27" t="s">
        <v>73</v>
      </c>
      <c r="L454" s="31" t="s">
        <v>715</v>
      </c>
      <c r="M454" s="32">
        <v>0.48</v>
      </c>
      <c r="N454" s="27" t="s">
        <v>33</v>
      </c>
      <c r="O454" s="27" t="s">
        <v>111</v>
      </c>
      <c r="P454" s="27" t="s">
        <v>418</v>
      </c>
      <c r="Q454" s="27" t="s">
        <v>1064</v>
      </c>
      <c r="R454" s="33">
        <v>21133</v>
      </c>
      <c r="S454" s="34">
        <v>42043</v>
      </c>
      <c r="T454" s="34">
        <v>42043</v>
      </c>
      <c r="U454" s="29">
        <v>-427.47</v>
      </c>
      <c r="V454" s="26">
        <v>1</v>
      </c>
      <c r="W454" s="29">
        <v>179.51</v>
      </c>
      <c r="X454" s="26">
        <v>88023</v>
      </c>
      <c r="Y454" s="35">
        <v>179.92000000000002</v>
      </c>
      <c r="Z454" s="1" t="s">
        <v>3014</v>
      </c>
      <c r="AA454" s="36">
        <v>12.599300000000001</v>
      </c>
      <c r="AB454" s="54">
        <v>93.345200000000006</v>
      </c>
      <c r="AC454" s="54">
        <v>86.164799999999985</v>
      </c>
      <c r="AD454" s="36">
        <v>574.39069999999992</v>
      </c>
    </row>
    <row r="455" spans="1:30" s="37" customFormat="1" ht="15.75" customHeight="1" x14ac:dyDescent="0.2">
      <c r="A455" s="26">
        <v>1574</v>
      </c>
      <c r="B455" s="27" t="s">
        <v>1068</v>
      </c>
      <c r="C455" s="27" t="s">
        <v>116</v>
      </c>
      <c r="D455" s="28">
        <v>7.0000000000000007E-2</v>
      </c>
      <c r="E455" s="29">
        <v>20.95</v>
      </c>
      <c r="F455" s="29">
        <v>5.99</v>
      </c>
      <c r="G455" s="30" t="s">
        <v>39</v>
      </c>
      <c r="H455" s="27" t="s">
        <v>40</v>
      </c>
      <c r="I455" s="27" t="s">
        <v>41</v>
      </c>
      <c r="J455" s="27" t="s">
        <v>42</v>
      </c>
      <c r="K455" s="27" t="s">
        <v>73</v>
      </c>
      <c r="L455" s="31" t="s">
        <v>253</v>
      </c>
      <c r="M455" s="32">
        <v>0.65</v>
      </c>
      <c r="N455" s="27" t="s">
        <v>33</v>
      </c>
      <c r="O455" s="27" t="s">
        <v>34</v>
      </c>
      <c r="P455" s="27" t="s">
        <v>97</v>
      </c>
      <c r="Q455" s="27" t="s">
        <v>1069</v>
      </c>
      <c r="R455" s="33">
        <v>28314</v>
      </c>
      <c r="S455" s="34">
        <v>42044</v>
      </c>
      <c r="T455" s="34">
        <v>42045</v>
      </c>
      <c r="U455" s="29">
        <v>27.234000000000002</v>
      </c>
      <c r="V455" s="26">
        <v>19</v>
      </c>
      <c r="W455" s="29">
        <v>391.4</v>
      </c>
      <c r="X455" s="26">
        <v>86966</v>
      </c>
      <c r="Y455" s="35">
        <v>5.66</v>
      </c>
      <c r="Z455" s="1" t="s">
        <v>3011</v>
      </c>
      <c r="AA455" s="36">
        <v>27.863500000000002</v>
      </c>
      <c r="AB455" s="54">
        <v>136.98999999999998</v>
      </c>
      <c r="AC455" s="54">
        <v>13.389999999999999</v>
      </c>
      <c r="AD455" s="36">
        <v>330.3125</v>
      </c>
    </row>
    <row r="456" spans="1:30" s="37" customFormat="1" ht="15.75" customHeight="1" x14ac:dyDescent="0.2">
      <c r="A456" s="26">
        <v>2619</v>
      </c>
      <c r="B456" s="27" t="s">
        <v>1070</v>
      </c>
      <c r="C456" s="27" t="s">
        <v>3094</v>
      </c>
      <c r="D456" s="28">
        <v>0.1</v>
      </c>
      <c r="E456" s="29">
        <v>30.98</v>
      </c>
      <c r="F456" s="29">
        <v>8.99</v>
      </c>
      <c r="G456" s="30" t="s">
        <v>39</v>
      </c>
      <c r="H456" s="27" t="s">
        <v>94</v>
      </c>
      <c r="I456" s="27" t="s">
        <v>49</v>
      </c>
      <c r="J456" s="27" t="s">
        <v>50</v>
      </c>
      <c r="K456" s="27" t="s">
        <v>43</v>
      </c>
      <c r="L456" s="31" t="s">
        <v>339</v>
      </c>
      <c r="M456" s="32">
        <v>0.57999999999999996</v>
      </c>
      <c r="N456" s="27" t="s">
        <v>33</v>
      </c>
      <c r="O456" s="27" t="s">
        <v>53</v>
      </c>
      <c r="P456" s="27" t="s">
        <v>1071</v>
      </c>
      <c r="Q456" s="27" t="s">
        <v>1072</v>
      </c>
      <c r="R456" s="33">
        <v>57103</v>
      </c>
      <c r="S456" s="34">
        <v>42044</v>
      </c>
      <c r="T456" s="34">
        <v>42046</v>
      </c>
      <c r="U456" s="29">
        <v>-20.222799999999999</v>
      </c>
      <c r="V456" s="26">
        <v>4</v>
      </c>
      <c r="W456" s="29">
        <v>119.37</v>
      </c>
      <c r="X456" s="26">
        <v>88015</v>
      </c>
      <c r="Y456" s="35">
        <v>4.03</v>
      </c>
      <c r="Z456" s="1" t="s">
        <v>3012</v>
      </c>
      <c r="AA456" s="36">
        <v>12.392000000000001</v>
      </c>
      <c r="AB456" s="54">
        <v>50.135400000000004</v>
      </c>
      <c r="AC456" s="54">
        <v>17.30865</v>
      </c>
      <c r="AD456" s="36">
        <v>118.21080000000001</v>
      </c>
    </row>
    <row r="457" spans="1:30" s="37" customFormat="1" ht="15.75" customHeight="1" x14ac:dyDescent="0.2">
      <c r="A457" s="26">
        <v>1671</v>
      </c>
      <c r="B457" s="27" t="s">
        <v>1066</v>
      </c>
      <c r="C457" s="27" t="s">
        <v>48</v>
      </c>
      <c r="D457" s="28">
        <v>0.1</v>
      </c>
      <c r="E457" s="29">
        <v>4.13</v>
      </c>
      <c r="F457" s="29">
        <v>0.99</v>
      </c>
      <c r="G457" s="30" t="s">
        <v>39</v>
      </c>
      <c r="H457" s="27" t="s">
        <v>3095</v>
      </c>
      <c r="I457" s="27" t="s">
        <v>49</v>
      </c>
      <c r="J457" s="27" t="s">
        <v>152</v>
      </c>
      <c r="K457" s="27" t="s">
        <v>73</v>
      </c>
      <c r="L457" s="31" t="s">
        <v>326</v>
      </c>
      <c r="M457" s="32">
        <v>0.39</v>
      </c>
      <c r="N457" s="27" t="s">
        <v>33</v>
      </c>
      <c r="O457" s="27" t="s">
        <v>34</v>
      </c>
      <c r="P457" s="27" t="s">
        <v>242</v>
      </c>
      <c r="Q457" s="27" t="s">
        <v>1067</v>
      </c>
      <c r="R457" s="33">
        <v>22015</v>
      </c>
      <c r="S457" s="34">
        <v>42044</v>
      </c>
      <c r="T457" s="34">
        <v>42048</v>
      </c>
      <c r="U457" s="29">
        <v>-40.53</v>
      </c>
      <c r="V457" s="26">
        <v>13</v>
      </c>
      <c r="W457" s="29">
        <v>52.16</v>
      </c>
      <c r="X457" s="26">
        <v>86724</v>
      </c>
      <c r="Y457" s="35">
        <v>20.88</v>
      </c>
      <c r="Z457" s="1" t="s">
        <v>3011</v>
      </c>
      <c r="AA457" s="36">
        <v>5.3690000000000007</v>
      </c>
      <c r="AB457" s="54">
        <v>31.817599999999999</v>
      </c>
      <c r="AC457" s="54">
        <v>1.5648</v>
      </c>
      <c r="AD457" s="36">
        <v>86.330999999999989</v>
      </c>
    </row>
    <row r="458" spans="1:30" s="37" customFormat="1" ht="15.75" customHeight="1" x14ac:dyDescent="0.2">
      <c r="A458" s="26">
        <v>2151</v>
      </c>
      <c r="B458" s="27" t="s">
        <v>234</v>
      </c>
      <c r="C458" s="27" t="s">
        <v>38</v>
      </c>
      <c r="D458" s="28">
        <v>0.08</v>
      </c>
      <c r="E458" s="29">
        <v>5.74</v>
      </c>
      <c r="F458" s="29">
        <v>5.01</v>
      </c>
      <c r="G458" s="30" t="s">
        <v>39</v>
      </c>
      <c r="H458" s="27" t="s">
        <v>94</v>
      </c>
      <c r="I458" s="27" t="s">
        <v>49</v>
      </c>
      <c r="J458" s="27" t="s">
        <v>72</v>
      </c>
      <c r="K458" s="27" t="s">
        <v>73</v>
      </c>
      <c r="L458" s="31" t="s">
        <v>1065</v>
      </c>
      <c r="M458" s="32">
        <v>0.39</v>
      </c>
      <c r="N458" s="27" t="s">
        <v>33</v>
      </c>
      <c r="O458" s="27" t="s">
        <v>53</v>
      </c>
      <c r="P458" s="27" t="s">
        <v>213</v>
      </c>
      <c r="Q458" s="27" t="s">
        <v>236</v>
      </c>
      <c r="R458" s="33">
        <v>52001</v>
      </c>
      <c r="S458" s="34">
        <v>42044</v>
      </c>
      <c r="T458" s="34">
        <v>42046</v>
      </c>
      <c r="U458" s="29">
        <v>-6.9308199999999998</v>
      </c>
      <c r="V458" s="26">
        <v>1</v>
      </c>
      <c r="W458" s="29">
        <v>7.21</v>
      </c>
      <c r="X458" s="26">
        <v>90405</v>
      </c>
      <c r="Y458" s="35">
        <v>30.88</v>
      </c>
      <c r="Z458" s="1" t="s">
        <v>3012</v>
      </c>
      <c r="AA458" s="36">
        <v>0.45920000000000005</v>
      </c>
      <c r="AB458" s="54">
        <v>4.3980999999999995</v>
      </c>
      <c r="AC458" s="54">
        <v>2.8119000000000001</v>
      </c>
      <c r="AD458" s="36">
        <v>8.6716200000000008</v>
      </c>
    </row>
    <row r="459" spans="1:30" s="37" customFormat="1" ht="15.75" customHeight="1" x14ac:dyDescent="0.2">
      <c r="A459" s="26">
        <v>2204</v>
      </c>
      <c r="B459" s="27" t="s">
        <v>962</v>
      </c>
      <c r="C459" s="27" t="s">
        <v>26</v>
      </c>
      <c r="D459" s="28">
        <v>0.04</v>
      </c>
      <c r="E459" s="29">
        <v>296.18</v>
      </c>
      <c r="F459" s="29">
        <v>154.12</v>
      </c>
      <c r="G459" s="30" t="s">
        <v>27</v>
      </c>
      <c r="H459" s="27" t="s">
        <v>40</v>
      </c>
      <c r="I459" s="27" t="s">
        <v>29</v>
      </c>
      <c r="J459" s="27" t="s">
        <v>30</v>
      </c>
      <c r="K459" s="27" t="s">
        <v>31</v>
      </c>
      <c r="L459" s="31" t="s">
        <v>1079</v>
      </c>
      <c r="M459" s="32">
        <v>0.76</v>
      </c>
      <c r="N459" s="27" t="s">
        <v>33</v>
      </c>
      <c r="O459" s="27" t="s">
        <v>53</v>
      </c>
      <c r="P459" s="27" t="s">
        <v>84</v>
      </c>
      <c r="Q459" s="27" t="s">
        <v>963</v>
      </c>
      <c r="R459" s="33">
        <v>55337</v>
      </c>
      <c r="S459" s="34">
        <v>42045</v>
      </c>
      <c r="T459" s="34">
        <v>42046</v>
      </c>
      <c r="U459" s="29">
        <v>-87.998040000000003</v>
      </c>
      <c r="V459" s="26">
        <v>20</v>
      </c>
      <c r="W459" s="29">
        <v>5768.12</v>
      </c>
      <c r="X459" s="26">
        <v>86053</v>
      </c>
      <c r="Y459" s="35">
        <v>4.9700000000000006</v>
      </c>
      <c r="Z459" s="1" t="s">
        <v>3012</v>
      </c>
      <c r="AA459" s="36">
        <v>236.94400000000002</v>
      </c>
      <c r="AB459" s="54">
        <v>1384.3488</v>
      </c>
      <c r="AC459" s="54">
        <v>219.18856</v>
      </c>
      <c r="AD459" s="36">
        <v>5465.05404</v>
      </c>
    </row>
    <row r="460" spans="1:30" s="37" customFormat="1" ht="15.75" customHeight="1" x14ac:dyDescent="0.2">
      <c r="A460" s="26">
        <v>1340</v>
      </c>
      <c r="B460" s="27" t="s">
        <v>1084</v>
      </c>
      <c r="C460" s="27" t="s">
        <v>48</v>
      </c>
      <c r="D460" s="28">
        <v>0.02</v>
      </c>
      <c r="E460" s="29">
        <v>55.99</v>
      </c>
      <c r="F460" s="29">
        <v>3.3</v>
      </c>
      <c r="G460" s="30" t="s">
        <v>39</v>
      </c>
      <c r="H460" s="27" t="s">
        <v>71</v>
      </c>
      <c r="I460" s="27" t="s">
        <v>41</v>
      </c>
      <c r="J460" s="27" t="s">
        <v>135</v>
      </c>
      <c r="K460" s="27" t="s">
        <v>43</v>
      </c>
      <c r="L460" s="31" t="s">
        <v>1083</v>
      </c>
      <c r="M460" s="32">
        <v>0.59</v>
      </c>
      <c r="N460" s="27" t="s">
        <v>33</v>
      </c>
      <c r="O460" s="27" t="s">
        <v>111</v>
      </c>
      <c r="P460" s="27" t="s">
        <v>112</v>
      </c>
      <c r="Q460" s="27" t="s">
        <v>113</v>
      </c>
      <c r="R460" s="33">
        <v>10170</v>
      </c>
      <c r="S460" s="34">
        <v>42045</v>
      </c>
      <c r="T460" s="34">
        <v>42045</v>
      </c>
      <c r="U460" s="29">
        <v>366.50700000000001</v>
      </c>
      <c r="V460" s="26">
        <v>63</v>
      </c>
      <c r="W460" s="29">
        <v>2997.07</v>
      </c>
      <c r="X460" s="26">
        <v>21636</v>
      </c>
      <c r="Y460" s="35">
        <v>4.9700000000000006</v>
      </c>
      <c r="Z460" s="1" t="s">
        <v>3014</v>
      </c>
      <c r="AA460" s="36">
        <v>70.54740000000001</v>
      </c>
      <c r="AB460" s="54">
        <v>1228.7987000000001</v>
      </c>
      <c r="AC460" s="54">
        <v>28.067798412698412</v>
      </c>
      <c r="AD460" s="36">
        <v>2556.7156</v>
      </c>
    </row>
    <row r="461" spans="1:30" s="37" customFormat="1" ht="15.75" customHeight="1" x14ac:dyDescent="0.2">
      <c r="A461" s="26">
        <v>1361</v>
      </c>
      <c r="B461" s="27" t="s">
        <v>779</v>
      </c>
      <c r="C461" s="27" t="s">
        <v>26</v>
      </c>
      <c r="D461" s="28">
        <v>0.03</v>
      </c>
      <c r="E461" s="29">
        <v>85.99</v>
      </c>
      <c r="F461" s="29">
        <v>3.3</v>
      </c>
      <c r="G461" s="30" t="s">
        <v>39</v>
      </c>
      <c r="H461" s="27" t="s">
        <v>40</v>
      </c>
      <c r="I461" s="27" t="s">
        <v>41</v>
      </c>
      <c r="J461" s="27" t="s">
        <v>135</v>
      </c>
      <c r="K461" s="27" t="s">
        <v>43</v>
      </c>
      <c r="L461" s="31" t="s">
        <v>514</v>
      </c>
      <c r="M461" s="32">
        <v>0.37</v>
      </c>
      <c r="N461" s="27" t="s">
        <v>33</v>
      </c>
      <c r="O461" s="27" t="s">
        <v>53</v>
      </c>
      <c r="P461" s="27" t="s">
        <v>289</v>
      </c>
      <c r="Q461" s="27" t="s">
        <v>780</v>
      </c>
      <c r="R461" s="33">
        <v>48101</v>
      </c>
      <c r="S461" s="34">
        <v>42045</v>
      </c>
      <c r="T461" s="34">
        <v>42047</v>
      </c>
      <c r="U461" s="29">
        <v>790.54679999999996</v>
      </c>
      <c r="V461" s="26">
        <v>16</v>
      </c>
      <c r="W461" s="29">
        <v>1145.72</v>
      </c>
      <c r="X461" s="26">
        <v>89596</v>
      </c>
      <c r="Y461" s="35">
        <v>13.98</v>
      </c>
      <c r="Z461" s="1" t="s">
        <v>3012</v>
      </c>
      <c r="AA461" s="36">
        <v>41.275199999999998</v>
      </c>
      <c r="AB461" s="54">
        <v>721.80360000000007</v>
      </c>
      <c r="AC461" s="54">
        <v>26.494775000000001</v>
      </c>
      <c r="AD461" s="36">
        <v>310.59800000000007</v>
      </c>
    </row>
    <row r="462" spans="1:30" s="37" customFormat="1" ht="15.75" customHeight="1" x14ac:dyDescent="0.2">
      <c r="A462" s="26">
        <v>1338</v>
      </c>
      <c r="B462" s="27" t="s">
        <v>1082</v>
      </c>
      <c r="C462" s="27" t="s">
        <v>48</v>
      </c>
      <c r="D462" s="28">
        <v>0.02</v>
      </c>
      <c r="E462" s="29">
        <v>55.99</v>
      </c>
      <c r="F462" s="29">
        <v>3.3</v>
      </c>
      <c r="G462" s="30" t="s">
        <v>39</v>
      </c>
      <c r="H462" s="27" t="s">
        <v>71</v>
      </c>
      <c r="I462" s="27" t="s">
        <v>41</v>
      </c>
      <c r="J462" s="27" t="s">
        <v>135</v>
      </c>
      <c r="K462" s="27" t="s">
        <v>43</v>
      </c>
      <c r="L462" s="31" t="s">
        <v>1083</v>
      </c>
      <c r="M462" s="32">
        <v>0.59</v>
      </c>
      <c r="N462" s="27" t="s">
        <v>33</v>
      </c>
      <c r="O462" s="27" t="s">
        <v>53</v>
      </c>
      <c r="P462" s="27" t="s">
        <v>103</v>
      </c>
      <c r="Q462" s="27" t="s">
        <v>533</v>
      </c>
      <c r="R462" s="33">
        <v>60623</v>
      </c>
      <c r="S462" s="34">
        <v>42045</v>
      </c>
      <c r="T462" s="34">
        <v>42045</v>
      </c>
      <c r="U462" s="29">
        <v>525.20039999999995</v>
      </c>
      <c r="V462" s="26">
        <v>16</v>
      </c>
      <c r="W462" s="29">
        <v>761.16</v>
      </c>
      <c r="X462" s="26">
        <v>91244</v>
      </c>
      <c r="Y462" s="35">
        <v>6.4700000000000006</v>
      </c>
      <c r="Z462" s="1" t="s">
        <v>3012</v>
      </c>
      <c r="AA462" s="36">
        <v>17.916800000000002</v>
      </c>
      <c r="AB462" s="54">
        <v>312.07560000000001</v>
      </c>
      <c r="AC462" s="54">
        <v>28.067774999999997</v>
      </c>
      <c r="AD462" s="36">
        <v>214.7428000000001</v>
      </c>
    </row>
    <row r="463" spans="1:30" s="37" customFormat="1" ht="15.75" customHeight="1" x14ac:dyDescent="0.2">
      <c r="A463" s="26">
        <v>1340</v>
      </c>
      <c r="B463" s="27" t="s">
        <v>1084</v>
      </c>
      <c r="C463" s="27" t="s">
        <v>48</v>
      </c>
      <c r="D463" s="28">
        <v>0</v>
      </c>
      <c r="E463" s="29">
        <v>22.38</v>
      </c>
      <c r="F463" s="29">
        <v>15.1</v>
      </c>
      <c r="G463" s="30" t="s">
        <v>87</v>
      </c>
      <c r="H463" s="27" t="s">
        <v>71</v>
      </c>
      <c r="I463" s="27" t="s">
        <v>49</v>
      </c>
      <c r="J463" s="27" t="s">
        <v>72</v>
      </c>
      <c r="K463" s="27" t="s">
        <v>73</v>
      </c>
      <c r="L463" s="31" t="s">
        <v>1085</v>
      </c>
      <c r="M463" s="32">
        <v>0.38</v>
      </c>
      <c r="N463" s="27" t="s">
        <v>33</v>
      </c>
      <c r="O463" s="27" t="s">
        <v>111</v>
      </c>
      <c r="P463" s="27" t="s">
        <v>112</v>
      </c>
      <c r="Q463" s="27" t="s">
        <v>113</v>
      </c>
      <c r="R463" s="33">
        <v>10170</v>
      </c>
      <c r="S463" s="34">
        <v>42045</v>
      </c>
      <c r="T463" s="34">
        <v>42052</v>
      </c>
      <c r="U463" s="29">
        <v>-52.646999999999998</v>
      </c>
      <c r="V463" s="26">
        <v>29</v>
      </c>
      <c r="W463" s="29">
        <v>682.68</v>
      </c>
      <c r="X463" s="26">
        <v>21636</v>
      </c>
      <c r="Y463" s="35">
        <v>85.96</v>
      </c>
      <c r="Z463" s="1" t="s">
        <v>3014</v>
      </c>
      <c r="AA463" s="36">
        <v>0</v>
      </c>
      <c r="AB463" s="54">
        <v>423.26159999999999</v>
      </c>
      <c r="AC463" s="54">
        <v>8.9454620689655169</v>
      </c>
      <c r="AD463" s="36">
        <v>720.22699999999998</v>
      </c>
    </row>
    <row r="464" spans="1:30" s="37" customFormat="1" ht="15.75" customHeight="1" x14ac:dyDescent="0.2">
      <c r="A464" s="26">
        <v>3004</v>
      </c>
      <c r="B464" s="27" t="s">
        <v>1088</v>
      </c>
      <c r="C464" s="27" t="s">
        <v>48</v>
      </c>
      <c r="D464" s="28">
        <v>0.08</v>
      </c>
      <c r="E464" s="29">
        <v>6.48</v>
      </c>
      <c r="F464" s="29">
        <v>6.81</v>
      </c>
      <c r="G464" s="30" t="s">
        <v>39</v>
      </c>
      <c r="H464" s="27" t="s">
        <v>94</v>
      </c>
      <c r="I464" s="27" t="s">
        <v>49</v>
      </c>
      <c r="J464" s="27" t="s">
        <v>88</v>
      </c>
      <c r="K464" s="27" t="s">
        <v>73</v>
      </c>
      <c r="L464" s="31" t="s">
        <v>1089</v>
      </c>
      <c r="M464" s="32">
        <v>0.36</v>
      </c>
      <c r="N464" s="27" t="s">
        <v>33</v>
      </c>
      <c r="O464" s="27" t="s">
        <v>60</v>
      </c>
      <c r="P464" s="27" t="s">
        <v>90</v>
      </c>
      <c r="Q464" s="27" t="s">
        <v>100</v>
      </c>
      <c r="R464" s="33">
        <v>90049</v>
      </c>
      <c r="S464" s="34">
        <v>42045</v>
      </c>
      <c r="T464" s="34">
        <v>42050</v>
      </c>
      <c r="U464" s="29">
        <v>-94.59</v>
      </c>
      <c r="V464" s="26">
        <v>58</v>
      </c>
      <c r="W464" s="29">
        <v>382.33</v>
      </c>
      <c r="X464" s="26">
        <v>54949</v>
      </c>
      <c r="Y464" s="35">
        <v>296.14</v>
      </c>
      <c r="Z464" s="1" t="s">
        <v>3013</v>
      </c>
      <c r="AA464" s="36">
        <v>30.067200000000003</v>
      </c>
      <c r="AB464" s="54">
        <v>244.69119999999998</v>
      </c>
      <c r="AC464" s="54">
        <v>2.3730827586206895</v>
      </c>
      <c r="AD464" s="36">
        <v>440.0428</v>
      </c>
    </row>
    <row r="465" spans="1:30" s="37" customFormat="1" ht="15.75" customHeight="1" x14ac:dyDescent="0.2">
      <c r="A465" s="26">
        <v>3004</v>
      </c>
      <c r="B465" s="27" t="s">
        <v>1088</v>
      </c>
      <c r="C465" s="27" t="s">
        <v>48</v>
      </c>
      <c r="D465" s="28">
        <v>0.09</v>
      </c>
      <c r="E465" s="29">
        <v>20.98</v>
      </c>
      <c r="F465" s="29">
        <v>53.03</v>
      </c>
      <c r="G465" s="30" t="s">
        <v>27</v>
      </c>
      <c r="H465" s="27" t="s">
        <v>94</v>
      </c>
      <c r="I465" s="27" t="s">
        <v>49</v>
      </c>
      <c r="J465" s="27" t="s">
        <v>78</v>
      </c>
      <c r="K465" s="27" t="s">
        <v>58</v>
      </c>
      <c r="L465" s="31" t="s">
        <v>1090</v>
      </c>
      <c r="M465" s="32">
        <v>0.78</v>
      </c>
      <c r="N465" s="27" t="s">
        <v>33</v>
      </c>
      <c r="O465" s="27" t="s">
        <v>60</v>
      </c>
      <c r="P465" s="27" t="s">
        <v>90</v>
      </c>
      <c r="Q465" s="27" t="s">
        <v>100</v>
      </c>
      <c r="R465" s="33">
        <v>90049</v>
      </c>
      <c r="S465" s="34">
        <v>42045</v>
      </c>
      <c r="T465" s="34">
        <v>42052</v>
      </c>
      <c r="U465" s="29">
        <v>-293.74</v>
      </c>
      <c r="V465" s="26">
        <v>13</v>
      </c>
      <c r="W465" s="29">
        <v>356.61</v>
      </c>
      <c r="X465" s="26">
        <v>54949</v>
      </c>
      <c r="Y465" s="35">
        <v>11.3</v>
      </c>
      <c r="Z465" s="1" t="s">
        <v>3013</v>
      </c>
      <c r="AA465" s="36">
        <v>24.546599999999998</v>
      </c>
      <c r="AB465" s="54">
        <v>78.4542</v>
      </c>
      <c r="AC465" s="54">
        <v>21.396600000000003</v>
      </c>
      <c r="AD465" s="36">
        <v>572.77340000000004</v>
      </c>
    </row>
    <row r="466" spans="1:30" s="37" customFormat="1" ht="15.75" customHeight="1" x14ac:dyDescent="0.2">
      <c r="A466" s="26">
        <v>2145</v>
      </c>
      <c r="B466" s="27" t="s">
        <v>1095</v>
      </c>
      <c r="C466" s="27" t="s">
        <v>116</v>
      </c>
      <c r="D466" s="28">
        <v>0</v>
      </c>
      <c r="E466" s="29">
        <v>20.28</v>
      </c>
      <c r="F466" s="29">
        <v>14.39</v>
      </c>
      <c r="G466" s="30" t="s">
        <v>39</v>
      </c>
      <c r="H466" s="27" t="s">
        <v>94</v>
      </c>
      <c r="I466" s="27" t="s">
        <v>29</v>
      </c>
      <c r="J466" s="27" t="s">
        <v>126</v>
      </c>
      <c r="K466" s="27" t="s">
        <v>73</v>
      </c>
      <c r="L466" s="31" t="s">
        <v>710</v>
      </c>
      <c r="M466" s="32">
        <v>0.47</v>
      </c>
      <c r="N466" s="27" t="s">
        <v>33</v>
      </c>
      <c r="O466" s="27" t="s">
        <v>34</v>
      </c>
      <c r="P466" s="27" t="s">
        <v>123</v>
      </c>
      <c r="Q466" s="27" t="s">
        <v>1096</v>
      </c>
      <c r="R466" s="33">
        <v>33311</v>
      </c>
      <c r="S466" s="34">
        <v>42045</v>
      </c>
      <c r="T466" s="34">
        <v>42047</v>
      </c>
      <c r="U466" s="29">
        <v>15.678000000000001</v>
      </c>
      <c r="V466" s="26">
        <v>11</v>
      </c>
      <c r="W466" s="29">
        <v>237.83</v>
      </c>
      <c r="X466" s="26">
        <v>87072</v>
      </c>
      <c r="Y466" s="35">
        <v>55.97</v>
      </c>
      <c r="Z466" s="1" t="s">
        <v>3011</v>
      </c>
      <c r="AA466" s="36">
        <v>0</v>
      </c>
      <c r="AB466" s="54">
        <v>126.04990000000001</v>
      </c>
      <c r="AC466" s="54">
        <v>10.161827272727272</v>
      </c>
      <c r="AD466" s="36">
        <v>207.762</v>
      </c>
    </row>
    <row r="467" spans="1:30" s="37" customFormat="1" ht="15.75" customHeight="1" x14ac:dyDescent="0.2">
      <c r="A467" s="26">
        <v>491</v>
      </c>
      <c r="B467" s="27" t="s">
        <v>1073</v>
      </c>
      <c r="C467" s="27" t="s">
        <v>26</v>
      </c>
      <c r="D467" s="28">
        <v>0.01</v>
      </c>
      <c r="E467" s="29">
        <v>4.9800000000000004</v>
      </c>
      <c r="F467" s="29">
        <v>6.07</v>
      </c>
      <c r="G467" s="30" t="s">
        <v>39</v>
      </c>
      <c r="H467" s="27" t="s">
        <v>40</v>
      </c>
      <c r="I467" s="27" t="s">
        <v>49</v>
      </c>
      <c r="J467" s="27" t="s">
        <v>88</v>
      </c>
      <c r="K467" s="27" t="s">
        <v>73</v>
      </c>
      <c r="L467" s="31" t="s">
        <v>787</v>
      </c>
      <c r="M467" s="32">
        <v>0.36</v>
      </c>
      <c r="N467" s="27" t="s">
        <v>33</v>
      </c>
      <c r="O467" s="27" t="s">
        <v>111</v>
      </c>
      <c r="P467" s="27" t="s">
        <v>112</v>
      </c>
      <c r="Q467" s="27" t="s">
        <v>113</v>
      </c>
      <c r="R467" s="33">
        <v>10154</v>
      </c>
      <c r="S467" s="34">
        <v>42045</v>
      </c>
      <c r="T467" s="34">
        <v>42046</v>
      </c>
      <c r="U467" s="29">
        <v>-69.069999999999993</v>
      </c>
      <c r="V467" s="26">
        <v>41</v>
      </c>
      <c r="W467" s="29">
        <v>217</v>
      </c>
      <c r="X467" s="26">
        <v>10464</v>
      </c>
      <c r="Y467" s="35">
        <v>22.38</v>
      </c>
      <c r="Z467" s="1" t="s">
        <v>3014</v>
      </c>
      <c r="AA467" s="36">
        <v>2.0418000000000003</v>
      </c>
      <c r="AB467" s="54">
        <v>138.88</v>
      </c>
      <c r="AC467" s="54">
        <v>1.9053658536585365</v>
      </c>
      <c r="AD467" s="36">
        <v>277.95819999999998</v>
      </c>
    </row>
    <row r="468" spans="1:30" s="37" customFormat="1" ht="15.75" customHeight="1" x14ac:dyDescent="0.2">
      <c r="A468" s="26">
        <v>1526</v>
      </c>
      <c r="B468" s="27" t="s">
        <v>1080</v>
      </c>
      <c r="C468" s="27" t="s">
        <v>38</v>
      </c>
      <c r="D468" s="28">
        <v>0.04</v>
      </c>
      <c r="E468" s="29">
        <v>11.34</v>
      </c>
      <c r="F468" s="29">
        <v>5.01</v>
      </c>
      <c r="G468" s="30" t="s">
        <v>39</v>
      </c>
      <c r="H468" s="27" t="s">
        <v>71</v>
      </c>
      <c r="I468" s="27" t="s">
        <v>49</v>
      </c>
      <c r="J468" s="27" t="s">
        <v>88</v>
      </c>
      <c r="K468" s="27" t="s">
        <v>73</v>
      </c>
      <c r="L468" s="31" t="s">
        <v>415</v>
      </c>
      <c r="M468" s="32">
        <v>0.36</v>
      </c>
      <c r="N468" s="27" t="s">
        <v>33</v>
      </c>
      <c r="O468" s="27" t="s">
        <v>34</v>
      </c>
      <c r="P468" s="27" t="s">
        <v>164</v>
      </c>
      <c r="Q468" s="27" t="s">
        <v>1081</v>
      </c>
      <c r="R468" s="33">
        <v>35211</v>
      </c>
      <c r="S468" s="34">
        <v>42045</v>
      </c>
      <c r="T468" s="34">
        <v>42046</v>
      </c>
      <c r="U468" s="29">
        <v>-189.22399999999999</v>
      </c>
      <c r="V468" s="26">
        <v>10</v>
      </c>
      <c r="W468" s="29">
        <v>115.53</v>
      </c>
      <c r="X468" s="26">
        <v>86812</v>
      </c>
      <c r="Y468" s="35">
        <v>5.91</v>
      </c>
      <c r="Z468" s="1" t="s">
        <v>3011</v>
      </c>
      <c r="AA468" s="36">
        <v>4.5359999999999996</v>
      </c>
      <c r="AB468" s="54">
        <v>73.9392</v>
      </c>
      <c r="AC468" s="54">
        <v>4.1590800000000003</v>
      </c>
      <c r="AD468" s="36">
        <v>295.20799999999997</v>
      </c>
    </row>
    <row r="469" spans="1:30" s="37" customFormat="1" ht="15.75" customHeight="1" x14ac:dyDescent="0.2">
      <c r="A469" s="26">
        <v>3006</v>
      </c>
      <c r="B469" s="27" t="s">
        <v>1091</v>
      </c>
      <c r="C469" s="27" t="s">
        <v>48</v>
      </c>
      <c r="D469" s="28">
        <v>0.08</v>
      </c>
      <c r="E469" s="29">
        <v>6.48</v>
      </c>
      <c r="F469" s="29">
        <v>6.81</v>
      </c>
      <c r="G469" s="30" t="s">
        <v>39</v>
      </c>
      <c r="H469" s="27" t="s">
        <v>94</v>
      </c>
      <c r="I469" s="27" t="s">
        <v>49</v>
      </c>
      <c r="J469" s="27" t="s">
        <v>88</v>
      </c>
      <c r="K469" s="27" t="s">
        <v>73</v>
      </c>
      <c r="L469" s="31" t="s">
        <v>1089</v>
      </c>
      <c r="M469" s="32">
        <v>0.36</v>
      </c>
      <c r="N469" s="27" t="s">
        <v>33</v>
      </c>
      <c r="O469" s="27" t="s">
        <v>60</v>
      </c>
      <c r="P469" s="27" t="s">
        <v>490</v>
      </c>
      <c r="Q469" s="27" t="s">
        <v>1092</v>
      </c>
      <c r="R469" s="33">
        <v>83402</v>
      </c>
      <c r="S469" s="34">
        <v>42045</v>
      </c>
      <c r="T469" s="34">
        <v>42050</v>
      </c>
      <c r="U469" s="29">
        <v>-49.186799999999998</v>
      </c>
      <c r="V469" s="26">
        <v>14</v>
      </c>
      <c r="W469" s="29">
        <v>92.29</v>
      </c>
      <c r="X469" s="26">
        <v>91388</v>
      </c>
      <c r="Y469" s="35">
        <v>55.97</v>
      </c>
      <c r="Z469" s="1" t="s">
        <v>3013</v>
      </c>
      <c r="AA469" s="36">
        <v>7.2576000000000009</v>
      </c>
      <c r="AB469" s="54">
        <v>59.065600000000003</v>
      </c>
      <c r="AC469" s="54">
        <v>2.3731714285714287</v>
      </c>
      <c r="AD469" s="36">
        <v>127.4092</v>
      </c>
    </row>
    <row r="470" spans="1:30" s="37" customFormat="1" ht="15.75" customHeight="1" x14ac:dyDescent="0.2">
      <c r="A470" s="26">
        <v>3006</v>
      </c>
      <c r="B470" s="27" t="s">
        <v>1091</v>
      </c>
      <c r="C470" s="27" t="s">
        <v>48</v>
      </c>
      <c r="D470" s="28">
        <v>0.09</v>
      </c>
      <c r="E470" s="29">
        <v>20.98</v>
      </c>
      <c r="F470" s="29">
        <v>53.03</v>
      </c>
      <c r="G470" s="30" t="s">
        <v>27</v>
      </c>
      <c r="H470" s="27" t="s">
        <v>94</v>
      </c>
      <c r="I470" s="27" t="s">
        <v>49</v>
      </c>
      <c r="J470" s="27" t="s">
        <v>78</v>
      </c>
      <c r="K470" s="27" t="s">
        <v>58</v>
      </c>
      <c r="L470" s="31" t="s">
        <v>1090</v>
      </c>
      <c r="M470" s="32">
        <v>0.78</v>
      </c>
      <c r="N470" s="27" t="s">
        <v>33</v>
      </c>
      <c r="O470" s="27" t="s">
        <v>60</v>
      </c>
      <c r="P470" s="27" t="s">
        <v>490</v>
      </c>
      <c r="Q470" s="27" t="s">
        <v>1092</v>
      </c>
      <c r="R470" s="33">
        <v>83402</v>
      </c>
      <c r="S470" s="34">
        <v>42045</v>
      </c>
      <c r="T470" s="34">
        <v>42052</v>
      </c>
      <c r="U470" s="29">
        <v>-152.7448</v>
      </c>
      <c r="V470" s="26">
        <v>3</v>
      </c>
      <c r="W470" s="29">
        <v>82.29</v>
      </c>
      <c r="X470" s="26">
        <v>91388</v>
      </c>
      <c r="Y470" s="35">
        <v>5.91</v>
      </c>
      <c r="Z470" s="1" t="s">
        <v>3013</v>
      </c>
      <c r="AA470" s="36">
        <v>5.6646000000000001</v>
      </c>
      <c r="AB470" s="54">
        <v>18.1038</v>
      </c>
      <c r="AC470" s="54">
        <v>21.395400000000002</v>
      </c>
      <c r="AD470" s="36">
        <v>176.34019999999998</v>
      </c>
    </row>
    <row r="471" spans="1:30" s="37" customFormat="1" ht="15.75" customHeight="1" x14ac:dyDescent="0.2">
      <c r="A471" s="26">
        <v>1340</v>
      </c>
      <c r="B471" s="27" t="s">
        <v>1084</v>
      </c>
      <c r="C471" s="27" t="s">
        <v>48</v>
      </c>
      <c r="D471" s="28">
        <v>7.0000000000000007E-2</v>
      </c>
      <c r="E471" s="29">
        <v>5.98</v>
      </c>
      <c r="F471" s="29">
        <v>4.6900000000000004</v>
      </c>
      <c r="G471" s="30" t="s">
        <v>39</v>
      </c>
      <c r="H471" s="27" t="s">
        <v>71</v>
      </c>
      <c r="I471" s="27" t="s">
        <v>49</v>
      </c>
      <c r="J471" s="27" t="s">
        <v>78</v>
      </c>
      <c r="K471" s="27" t="s">
        <v>73</v>
      </c>
      <c r="L471" s="31" t="s">
        <v>229</v>
      </c>
      <c r="M471" s="32">
        <v>0.68</v>
      </c>
      <c r="N471" s="27" t="s">
        <v>33</v>
      </c>
      <c r="O471" s="27" t="s">
        <v>111</v>
      </c>
      <c r="P471" s="27" t="s">
        <v>112</v>
      </c>
      <c r="Q471" s="27" t="s">
        <v>113</v>
      </c>
      <c r="R471" s="33">
        <v>10170</v>
      </c>
      <c r="S471" s="34">
        <v>42045</v>
      </c>
      <c r="T471" s="34">
        <v>42050</v>
      </c>
      <c r="U471" s="29">
        <v>-24.44</v>
      </c>
      <c r="V471" s="26">
        <v>11</v>
      </c>
      <c r="W471" s="29">
        <v>73.44</v>
      </c>
      <c r="X471" s="26">
        <v>21636</v>
      </c>
      <c r="Y471" s="35">
        <v>6.4</v>
      </c>
      <c r="Z471" s="1" t="s">
        <v>3014</v>
      </c>
      <c r="AA471" s="36">
        <v>4.6046000000000014</v>
      </c>
      <c r="AB471" s="54">
        <v>23.500799999999995</v>
      </c>
      <c r="AC471" s="54">
        <v>4.5399272727272724</v>
      </c>
      <c r="AD471" s="36">
        <v>88.585399999999993</v>
      </c>
    </row>
    <row r="472" spans="1:30" s="37" customFormat="1" ht="15.75" customHeight="1" x14ac:dyDescent="0.2">
      <c r="A472" s="26">
        <v>1361</v>
      </c>
      <c r="B472" s="27" t="s">
        <v>779</v>
      </c>
      <c r="C472" s="27" t="s">
        <v>26</v>
      </c>
      <c r="D472" s="28">
        <v>0.01</v>
      </c>
      <c r="E472" s="29">
        <v>6.48</v>
      </c>
      <c r="F472" s="29">
        <v>6.22</v>
      </c>
      <c r="G472" s="30" t="s">
        <v>87</v>
      </c>
      <c r="H472" s="27" t="s">
        <v>40</v>
      </c>
      <c r="I472" s="27" t="s">
        <v>49</v>
      </c>
      <c r="J472" s="27" t="s">
        <v>88</v>
      </c>
      <c r="K472" s="27" t="s">
        <v>73</v>
      </c>
      <c r="L472" s="31" t="s">
        <v>1078</v>
      </c>
      <c r="M472" s="32">
        <v>0.37</v>
      </c>
      <c r="N472" s="27" t="s">
        <v>33</v>
      </c>
      <c r="O472" s="27" t="s">
        <v>53</v>
      </c>
      <c r="P472" s="27" t="s">
        <v>289</v>
      </c>
      <c r="Q472" s="27" t="s">
        <v>780</v>
      </c>
      <c r="R472" s="33">
        <v>48101</v>
      </c>
      <c r="S472" s="34">
        <v>42045</v>
      </c>
      <c r="T472" s="34">
        <v>42046</v>
      </c>
      <c r="U472" s="29">
        <v>-15.6312</v>
      </c>
      <c r="V472" s="26">
        <v>9</v>
      </c>
      <c r="W472" s="29">
        <v>69.459999999999994</v>
      </c>
      <c r="X472" s="26">
        <v>89596</v>
      </c>
      <c r="Y472" s="35">
        <v>20.89</v>
      </c>
      <c r="Z472" s="1" t="s">
        <v>3012</v>
      </c>
      <c r="AA472" s="36">
        <v>0.58320000000000005</v>
      </c>
      <c r="AB472" s="54">
        <v>43.759799999999998</v>
      </c>
      <c r="AC472" s="54">
        <v>2.8555777777777775</v>
      </c>
      <c r="AD472" s="36">
        <v>78.287999999999997</v>
      </c>
    </row>
    <row r="473" spans="1:30" s="37" customFormat="1" ht="15.75" customHeight="1" x14ac:dyDescent="0.2">
      <c r="A473" s="26">
        <v>494</v>
      </c>
      <c r="B473" s="27" t="s">
        <v>1074</v>
      </c>
      <c r="C473" s="27" t="s">
        <v>26</v>
      </c>
      <c r="D473" s="28">
        <v>0.01</v>
      </c>
      <c r="E473" s="29">
        <v>4.9800000000000004</v>
      </c>
      <c r="F473" s="29">
        <v>6.07</v>
      </c>
      <c r="G473" s="30" t="s">
        <v>39</v>
      </c>
      <c r="H473" s="27" t="s">
        <v>40</v>
      </c>
      <c r="I473" s="27" t="s">
        <v>49</v>
      </c>
      <c r="J473" s="27" t="s">
        <v>88</v>
      </c>
      <c r="K473" s="27" t="s">
        <v>73</v>
      </c>
      <c r="L473" s="31" t="s">
        <v>787</v>
      </c>
      <c r="M473" s="32">
        <v>0.36</v>
      </c>
      <c r="N473" s="27" t="s">
        <v>33</v>
      </c>
      <c r="O473" s="27" t="s">
        <v>60</v>
      </c>
      <c r="P473" s="27" t="s">
        <v>67</v>
      </c>
      <c r="Q473" s="27" t="s">
        <v>142</v>
      </c>
      <c r="R473" s="33">
        <v>98115</v>
      </c>
      <c r="S473" s="34">
        <v>42045</v>
      </c>
      <c r="T473" s="34">
        <v>42046</v>
      </c>
      <c r="U473" s="29">
        <v>-35.916400000000003</v>
      </c>
      <c r="V473" s="26">
        <v>10</v>
      </c>
      <c r="W473" s="29">
        <v>52.93</v>
      </c>
      <c r="X473" s="26">
        <v>88907</v>
      </c>
      <c r="Y473" s="35">
        <v>6.4</v>
      </c>
      <c r="Z473" s="1" t="s">
        <v>3013</v>
      </c>
      <c r="AA473" s="36">
        <v>0.49800000000000005</v>
      </c>
      <c r="AB473" s="54">
        <v>33.8752</v>
      </c>
      <c r="AC473" s="54">
        <v>1.9054800000000001</v>
      </c>
      <c r="AD473" s="36">
        <v>82.278400000000005</v>
      </c>
    </row>
    <row r="474" spans="1:30" s="37" customFormat="1" ht="15.75" customHeight="1" x14ac:dyDescent="0.2">
      <c r="A474" s="26">
        <v>1633</v>
      </c>
      <c r="B474" s="27" t="s">
        <v>1097</v>
      </c>
      <c r="C474" s="27" t="s">
        <v>3094</v>
      </c>
      <c r="D474" s="28">
        <v>0.03</v>
      </c>
      <c r="E474" s="29">
        <v>5.98</v>
      </c>
      <c r="F474" s="29">
        <v>3.85</v>
      </c>
      <c r="G474" s="30" t="s">
        <v>39</v>
      </c>
      <c r="H474" s="27" t="s">
        <v>71</v>
      </c>
      <c r="I474" s="27" t="s">
        <v>41</v>
      </c>
      <c r="J474" s="27" t="s">
        <v>42</v>
      </c>
      <c r="K474" s="27" t="s">
        <v>43</v>
      </c>
      <c r="L474" s="31" t="s">
        <v>1098</v>
      </c>
      <c r="M474" s="32">
        <v>0.68</v>
      </c>
      <c r="N474" s="27" t="s">
        <v>33</v>
      </c>
      <c r="O474" s="27" t="s">
        <v>34</v>
      </c>
      <c r="P474" s="27" t="s">
        <v>35</v>
      </c>
      <c r="Q474" s="27" t="s">
        <v>1099</v>
      </c>
      <c r="R474" s="33">
        <v>38637</v>
      </c>
      <c r="S474" s="34">
        <v>42045</v>
      </c>
      <c r="T474" s="34">
        <v>42047</v>
      </c>
      <c r="U474" s="29">
        <v>-76.106800000000007</v>
      </c>
      <c r="V474" s="26">
        <v>6</v>
      </c>
      <c r="W474" s="29">
        <v>38.54</v>
      </c>
      <c r="X474" s="26">
        <v>90531</v>
      </c>
      <c r="Y474" s="35">
        <v>20.89</v>
      </c>
      <c r="Z474" s="1" t="s">
        <v>3011</v>
      </c>
      <c r="AA474" s="36">
        <v>1.0764</v>
      </c>
      <c r="AB474" s="54">
        <v>12.332799999999997</v>
      </c>
      <c r="AC474" s="54">
        <v>4.367866666666667</v>
      </c>
      <c r="AD474" s="36">
        <v>109.72040000000001</v>
      </c>
    </row>
    <row r="475" spans="1:30" s="37" customFormat="1" ht="15.75" customHeight="1" x14ac:dyDescent="0.2">
      <c r="A475" s="26">
        <v>1132</v>
      </c>
      <c r="B475" s="27" t="s">
        <v>1093</v>
      </c>
      <c r="C475" s="27" t="s">
        <v>116</v>
      </c>
      <c r="D475" s="28">
        <v>0.06</v>
      </c>
      <c r="E475" s="29">
        <v>6.37</v>
      </c>
      <c r="F475" s="29">
        <v>5.19</v>
      </c>
      <c r="G475" s="30" t="s">
        <v>39</v>
      </c>
      <c r="H475" s="27" t="s">
        <v>94</v>
      </c>
      <c r="I475" s="27" t="s">
        <v>49</v>
      </c>
      <c r="J475" s="27" t="s">
        <v>72</v>
      </c>
      <c r="K475" s="27" t="s">
        <v>73</v>
      </c>
      <c r="L475" s="31" t="s">
        <v>907</v>
      </c>
      <c r="M475" s="32">
        <v>0.38</v>
      </c>
      <c r="N475" s="27" t="s">
        <v>33</v>
      </c>
      <c r="O475" s="27" t="s">
        <v>53</v>
      </c>
      <c r="P475" s="27" t="s">
        <v>187</v>
      </c>
      <c r="Q475" s="27" t="s">
        <v>1094</v>
      </c>
      <c r="R475" s="33">
        <v>76039</v>
      </c>
      <c r="S475" s="34">
        <v>42045</v>
      </c>
      <c r="T475" s="34">
        <v>42046</v>
      </c>
      <c r="U475" s="29">
        <v>-48.219499999999996</v>
      </c>
      <c r="V475" s="26">
        <v>6</v>
      </c>
      <c r="W475" s="29">
        <v>37.700000000000003</v>
      </c>
      <c r="X475" s="26">
        <v>88101</v>
      </c>
      <c r="Y475" s="35">
        <v>6.3100000000000005</v>
      </c>
      <c r="Z475" s="1" t="s">
        <v>3012</v>
      </c>
      <c r="AA475" s="36">
        <v>2.2931999999999997</v>
      </c>
      <c r="AB475" s="54">
        <v>23.374000000000002</v>
      </c>
      <c r="AC475" s="54">
        <v>2.387666666666667</v>
      </c>
      <c r="AD475" s="36">
        <v>78.436300000000003</v>
      </c>
    </row>
    <row r="476" spans="1:30" s="37" customFormat="1" ht="15.75" customHeight="1" x14ac:dyDescent="0.2">
      <c r="A476" s="26">
        <v>1267</v>
      </c>
      <c r="B476" s="27" t="s">
        <v>1075</v>
      </c>
      <c r="C476" s="27" t="s">
        <v>26</v>
      </c>
      <c r="D476" s="28">
        <v>0.01</v>
      </c>
      <c r="E476" s="29">
        <v>13.99</v>
      </c>
      <c r="F476" s="29">
        <v>7.51</v>
      </c>
      <c r="G476" s="30" t="s">
        <v>39</v>
      </c>
      <c r="H476" s="27" t="s">
        <v>94</v>
      </c>
      <c r="I476" s="27" t="s">
        <v>41</v>
      </c>
      <c r="J476" s="27" t="s">
        <v>57</v>
      </c>
      <c r="K476" s="27" t="s">
        <v>144</v>
      </c>
      <c r="L476" s="31" t="s">
        <v>1076</v>
      </c>
      <c r="M476" s="32">
        <v>0.39</v>
      </c>
      <c r="N476" s="27" t="s">
        <v>33</v>
      </c>
      <c r="O476" s="27" t="s">
        <v>34</v>
      </c>
      <c r="P476" s="27" t="s">
        <v>123</v>
      </c>
      <c r="Q476" s="27" t="s">
        <v>1077</v>
      </c>
      <c r="R476" s="33">
        <v>33433</v>
      </c>
      <c r="S476" s="34">
        <v>42045</v>
      </c>
      <c r="T476" s="34">
        <v>42046</v>
      </c>
      <c r="U476" s="29">
        <v>533.74199999999996</v>
      </c>
      <c r="V476" s="26">
        <v>2</v>
      </c>
      <c r="W476" s="29">
        <v>29.85</v>
      </c>
      <c r="X476" s="26">
        <v>89514</v>
      </c>
      <c r="Y476" s="35">
        <v>20.28</v>
      </c>
      <c r="Z476" s="1" t="s">
        <v>3011</v>
      </c>
      <c r="AA476" s="36">
        <v>0.27979999999999999</v>
      </c>
      <c r="AB476" s="54">
        <v>18.208500000000001</v>
      </c>
      <c r="AC476" s="54">
        <v>5.8207500000000003</v>
      </c>
      <c r="AD476" s="36">
        <v>-511.68179999999995</v>
      </c>
    </row>
    <row r="477" spans="1:30" s="37" customFormat="1" ht="15.75" customHeight="1" x14ac:dyDescent="0.2">
      <c r="A477" s="26">
        <v>1341</v>
      </c>
      <c r="B477" s="27" t="s">
        <v>1086</v>
      </c>
      <c r="C477" s="27" t="s">
        <v>48</v>
      </c>
      <c r="D477" s="28">
        <v>7.0000000000000007E-2</v>
      </c>
      <c r="E477" s="29">
        <v>5.98</v>
      </c>
      <c r="F477" s="29">
        <v>4.6900000000000004</v>
      </c>
      <c r="G477" s="30" t="s">
        <v>39</v>
      </c>
      <c r="H477" s="27" t="s">
        <v>71</v>
      </c>
      <c r="I477" s="27" t="s">
        <v>49</v>
      </c>
      <c r="J477" s="27" t="s">
        <v>78</v>
      </c>
      <c r="K477" s="27" t="s">
        <v>73</v>
      </c>
      <c r="L477" s="31" t="s">
        <v>229</v>
      </c>
      <c r="M477" s="32">
        <v>0.68</v>
      </c>
      <c r="N477" s="27" t="s">
        <v>33</v>
      </c>
      <c r="O477" s="27" t="s">
        <v>111</v>
      </c>
      <c r="P477" s="27" t="s">
        <v>320</v>
      </c>
      <c r="Q477" s="27" t="s">
        <v>1087</v>
      </c>
      <c r="R477" s="33">
        <v>17201</v>
      </c>
      <c r="S477" s="34">
        <v>42045</v>
      </c>
      <c r="T477" s="34">
        <v>42050</v>
      </c>
      <c r="U477" s="29">
        <v>-12.7088</v>
      </c>
      <c r="V477" s="26">
        <v>3</v>
      </c>
      <c r="W477" s="29">
        <v>20.03</v>
      </c>
      <c r="X477" s="26">
        <v>91244</v>
      </c>
      <c r="Y477" s="35">
        <v>5.95</v>
      </c>
      <c r="Z477" s="1" t="s">
        <v>3014</v>
      </c>
      <c r="AA477" s="36">
        <v>1.2558000000000002</v>
      </c>
      <c r="AB477" s="54">
        <v>6.4095999999999993</v>
      </c>
      <c r="AC477" s="54">
        <v>4.5401333333333334</v>
      </c>
      <c r="AD477" s="36">
        <v>26.792999999999999</v>
      </c>
    </row>
    <row r="478" spans="1:30" s="37" customFormat="1" ht="15.75" customHeight="1" x14ac:dyDescent="0.2">
      <c r="A478" s="26">
        <v>2303</v>
      </c>
      <c r="B478" s="27" t="s">
        <v>156</v>
      </c>
      <c r="C478" s="27" t="s">
        <v>26</v>
      </c>
      <c r="D478" s="28">
        <v>7.0000000000000007E-2</v>
      </c>
      <c r="E478" s="29">
        <v>270.98</v>
      </c>
      <c r="F478" s="29">
        <v>50</v>
      </c>
      <c r="G478" s="30" t="s">
        <v>27</v>
      </c>
      <c r="H478" s="27" t="s">
        <v>94</v>
      </c>
      <c r="I478" s="27" t="s">
        <v>29</v>
      </c>
      <c r="J478" s="27" t="s">
        <v>109</v>
      </c>
      <c r="K478" s="27" t="s">
        <v>58</v>
      </c>
      <c r="L478" s="31" t="s">
        <v>1100</v>
      </c>
      <c r="M478" s="32">
        <v>0.77</v>
      </c>
      <c r="N478" s="27" t="s">
        <v>33</v>
      </c>
      <c r="O478" s="27" t="s">
        <v>111</v>
      </c>
      <c r="P478" s="27" t="s">
        <v>112</v>
      </c>
      <c r="Q478" s="27" t="s">
        <v>113</v>
      </c>
      <c r="R478" s="33">
        <v>10011</v>
      </c>
      <c r="S478" s="34">
        <v>42046</v>
      </c>
      <c r="T478" s="34">
        <v>42048</v>
      </c>
      <c r="U478" s="29">
        <v>-96.05</v>
      </c>
      <c r="V478" s="26">
        <v>36</v>
      </c>
      <c r="W478" s="29">
        <v>9757.48</v>
      </c>
      <c r="X478" s="26">
        <v>47493</v>
      </c>
      <c r="Y478" s="35">
        <v>270.91000000000003</v>
      </c>
      <c r="Z478" s="1" t="s">
        <v>3014</v>
      </c>
      <c r="AA478" s="36">
        <v>682.8696000000001</v>
      </c>
      <c r="AB478" s="54">
        <v>2244.2203999999997</v>
      </c>
      <c r="AC478" s="54">
        <v>208.70165555555553</v>
      </c>
      <c r="AD478" s="36">
        <v>9120.6603999999988</v>
      </c>
    </row>
    <row r="479" spans="1:30" s="37" customFormat="1" ht="15.75" customHeight="1" x14ac:dyDescent="0.2">
      <c r="A479" s="26">
        <v>2489</v>
      </c>
      <c r="B479" s="27" t="s">
        <v>451</v>
      </c>
      <c r="C479" s="27" t="s">
        <v>38</v>
      </c>
      <c r="D479" s="28">
        <v>0.01</v>
      </c>
      <c r="E479" s="29">
        <v>2036.48</v>
      </c>
      <c r="F479" s="29">
        <v>14.7</v>
      </c>
      <c r="G479" s="30" t="s">
        <v>27</v>
      </c>
      <c r="H479" s="27" t="s">
        <v>40</v>
      </c>
      <c r="I479" s="27" t="s">
        <v>41</v>
      </c>
      <c r="J479" s="27" t="s">
        <v>57</v>
      </c>
      <c r="K479" s="27" t="s">
        <v>58</v>
      </c>
      <c r="L479" s="31" t="s">
        <v>59</v>
      </c>
      <c r="M479" s="32">
        <v>0.55000000000000004</v>
      </c>
      <c r="N479" s="27" t="s">
        <v>33</v>
      </c>
      <c r="O479" s="27" t="s">
        <v>60</v>
      </c>
      <c r="P479" s="27" t="s">
        <v>90</v>
      </c>
      <c r="Q479" s="27" t="s">
        <v>453</v>
      </c>
      <c r="R479" s="33">
        <v>94521</v>
      </c>
      <c r="S479" s="34">
        <v>42046</v>
      </c>
      <c r="T479" s="34">
        <v>42048</v>
      </c>
      <c r="U479" s="29">
        <v>-1596.7457999999999</v>
      </c>
      <c r="V479" s="26">
        <v>2</v>
      </c>
      <c r="W479" s="29">
        <v>3786.84</v>
      </c>
      <c r="X479" s="26">
        <v>86883</v>
      </c>
      <c r="Y479" s="35">
        <v>270.91000000000003</v>
      </c>
      <c r="Z479" s="1" t="s">
        <v>3013</v>
      </c>
      <c r="AA479" s="36">
        <v>40.729599999999998</v>
      </c>
      <c r="AB479" s="54">
        <v>1704.078</v>
      </c>
      <c r="AC479" s="54">
        <v>1041.3810000000001</v>
      </c>
      <c r="AD479" s="36">
        <v>5328.1562000000004</v>
      </c>
    </row>
    <row r="480" spans="1:30" s="37" customFormat="1" ht="15.75" customHeight="1" x14ac:dyDescent="0.2">
      <c r="A480" s="26">
        <v>2072</v>
      </c>
      <c r="B480" s="27" t="s">
        <v>920</v>
      </c>
      <c r="C480" s="27" t="s">
        <v>38</v>
      </c>
      <c r="D480" s="28">
        <v>0.09</v>
      </c>
      <c r="E480" s="29">
        <v>260.98</v>
      </c>
      <c r="F480" s="29">
        <v>41.91</v>
      </c>
      <c r="G480" s="30" t="s">
        <v>27</v>
      </c>
      <c r="H480" s="27" t="s">
        <v>94</v>
      </c>
      <c r="I480" s="27" t="s">
        <v>29</v>
      </c>
      <c r="J480" s="27" t="s">
        <v>117</v>
      </c>
      <c r="K480" s="27" t="s">
        <v>31</v>
      </c>
      <c r="L480" s="31" t="s">
        <v>435</v>
      </c>
      <c r="M480" s="32">
        <v>0.59</v>
      </c>
      <c r="N480" s="27" t="s">
        <v>33</v>
      </c>
      <c r="O480" s="27" t="s">
        <v>53</v>
      </c>
      <c r="P480" s="27" t="s">
        <v>289</v>
      </c>
      <c r="Q480" s="27" t="s">
        <v>922</v>
      </c>
      <c r="R480" s="33">
        <v>48505</v>
      </c>
      <c r="S480" s="34">
        <v>42046</v>
      </c>
      <c r="T480" s="34">
        <v>42048</v>
      </c>
      <c r="U480" s="29">
        <v>1307.2692</v>
      </c>
      <c r="V480" s="26">
        <v>14</v>
      </c>
      <c r="W480" s="29">
        <v>3377.06</v>
      </c>
      <c r="X480" s="26">
        <v>88556</v>
      </c>
      <c r="Y480" s="35">
        <v>4.03</v>
      </c>
      <c r="Z480" s="1" t="s">
        <v>3012</v>
      </c>
      <c r="AA480" s="36">
        <v>328.83479999999997</v>
      </c>
      <c r="AB480" s="54">
        <v>1384.5946000000001</v>
      </c>
      <c r="AC480" s="54">
        <v>142.31895714285713</v>
      </c>
      <c r="AD480" s="36">
        <v>1699.0459999999998</v>
      </c>
    </row>
    <row r="481" spans="1:30" s="37" customFormat="1" ht="15.75" customHeight="1" x14ac:dyDescent="0.2">
      <c r="A481" s="26">
        <v>2302</v>
      </c>
      <c r="B481" s="27" t="s">
        <v>151</v>
      </c>
      <c r="C481" s="27" t="s">
        <v>26</v>
      </c>
      <c r="D481" s="28">
        <v>7.0000000000000007E-2</v>
      </c>
      <c r="E481" s="29">
        <v>270.98</v>
      </c>
      <c r="F481" s="29">
        <v>50</v>
      </c>
      <c r="G481" s="30" t="s">
        <v>27</v>
      </c>
      <c r="H481" s="27" t="s">
        <v>94</v>
      </c>
      <c r="I481" s="27" t="s">
        <v>29</v>
      </c>
      <c r="J481" s="27" t="s">
        <v>109</v>
      </c>
      <c r="K481" s="27" t="s">
        <v>58</v>
      </c>
      <c r="L481" s="31" t="s">
        <v>1100</v>
      </c>
      <c r="M481" s="32">
        <v>0.77</v>
      </c>
      <c r="N481" s="27" t="s">
        <v>33</v>
      </c>
      <c r="O481" s="27" t="s">
        <v>34</v>
      </c>
      <c r="P481" s="27" t="s">
        <v>123</v>
      </c>
      <c r="Q481" s="27" t="s">
        <v>154</v>
      </c>
      <c r="R481" s="33">
        <v>32404</v>
      </c>
      <c r="S481" s="34">
        <v>42046</v>
      </c>
      <c r="T481" s="34">
        <v>42048</v>
      </c>
      <c r="U481" s="29">
        <v>27.725999999999999</v>
      </c>
      <c r="V481" s="26">
        <v>9</v>
      </c>
      <c r="W481" s="29">
        <v>2439.37</v>
      </c>
      <c r="X481" s="26">
        <v>87695</v>
      </c>
      <c r="Y481" s="35">
        <v>4.9400000000000004</v>
      </c>
      <c r="Z481" s="1" t="s">
        <v>3011</v>
      </c>
      <c r="AA481" s="36">
        <v>170.71740000000003</v>
      </c>
      <c r="AB481" s="54">
        <v>561.05509999999992</v>
      </c>
      <c r="AC481" s="54">
        <v>208.70165555555553</v>
      </c>
      <c r="AD481" s="36">
        <v>2190.9265999999998</v>
      </c>
    </row>
    <row r="482" spans="1:30" s="37" customFormat="1" ht="15.75" customHeight="1" x14ac:dyDescent="0.2">
      <c r="A482" s="26">
        <v>2778</v>
      </c>
      <c r="B482" s="27" t="s">
        <v>1106</v>
      </c>
      <c r="C482" s="27" t="s">
        <v>38</v>
      </c>
      <c r="D482" s="28">
        <v>0.05</v>
      </c>
      <c r="E482" s="29">
        <v>205.99</v>
      </c>
      <c r="F482" s="29">
        <v>8.99</v>
      </c>
      <c r="G482" s="30" t="s">
        <v>87</v>
      </c>
      <c r="H482" s="27" t="s">
        <v>40</v>
      </c>
      <c r="I482" s="27" t="s">
        <v>41</v>
      </c>
      <c r="J482" s="27" t="s">
        <v>135</v>
      </c>
      <c r="K482" s="27" t="s">
        <v>73</v>
      </c>
      <c r="L482" s="31" t="s">
        <v>1107</v>
      </c>
      <c r="M482" s="32">
        <v>0.57999999999999996</v>
      </c>
      <c r="N482" s="27" t="s">
        <v>33</v>
      </c>
      <c r="O482" s="27" t="s">
        <v>34</v>
      </c>
      <c r="P482" s="27" t="s">
        <v>97</v>
      </c>
      <c r="Q482" s="27" t="s">
        <v>1108</v>
      </c>
      <c r="R482" s="33">
        <v>28403</v>
      </c>
      <c r="S482" s="34">
        <v>42046</v>
      </c>
      <c r="T482" s="34">
        <v>42047</v>
      </c>
      <c r="U482" s="29">
        <v>111.05249999999999</v>
      </c>
      <c r="V482" s="26">
        <v>12</v>
      </c>
      <c r="W482" s="29">
        <v>2118.9899999999998</v>
      </c>
      <c r="X482" s="26">
        <v>87160</v>
      </c>
      <c r="Y482" s="35">
        <v>260.89000000000004</v>
      </c>
      <c r="Z482" s="1" t="s">
        <v>3011</v>
      </c>
      <c r="AA482" s="36">
        <v>123.59400000000002</v>
      </c>
      <c r="AB482" s="54">
        <v>889.97580000000005</v>
      </c>
      <c r="AC482" s="54">
        <v>102.41784999999999</v>
      </c>
      <c r="AD482" s="36">
        <v>1875.3534999999997</v>
      </c>
    </row>
    <row r="483" spans="1:30" s="37" customFormat="1" ht="15.75" customHeight="1" x14ac:dyDescent="0.2">
      <c r="A483" s="26">
        <v>1815</v>
      </c>
      <c r="B483" s="27" t="s">
        <v>1109</v>
      </c>
      <c r="C483" s="27" t="s">
        <v>116</v>
      </c>
      <c r="D483" s="28">
        <v>0.06</v>
      </c>
      <c r="E483" s="29">
        <v>90.97</v>
      </c>
      <c r="F483" s="29">
        <v>14</v>
      </c>
      <c r="G483" s="30" t="s">
        <v>27</v>
      </c>
      <c r="H483" s="27" t="s">
        <v>71</v>
      </c>
      <c r="I483" s="27" t="s">
        <v>41</v>
      </c>
      <c r="J483" s="27" t="s">
        <v>57</v>
      </c>
      <c r="K483" s="27" t="s">
        <v>58</v>
      </c>
      <c r="L483" s="31" t="s">
        <v>1110</v>
      </c>
      <c r="M483" s="32">
        <v>0.36</v>
      </c>
      <c r="N483" s="27" t="s">
        <v>33</v>
      </c>
      <c r="O483" s="27" t="s">
        <v>34</v>
      </c>
      <c r="P483" s="27" t="s">
        <v>35</v>
      </c>
      <c r="Q483" s="27" t="s">
        <v>1111</v>
      </c>
      <c r="R483" s="33">
        <v>39208</v>
      </c>
      <c r="S483" s="34">
        <v>42046</v>
      </c>
      <c r="T483" s="34">
        <v>42047</v>
      </c>
      <c r="U483" s="29">
        <v>47.334000000000003</v>
      </c>
      <c r="V483" s="26">
        <v>14</v>
      </c>
      <c r="W483" s="29">
        <v>1263.3499999999999</v>
      </c>
      <c r="X483" s="26">
        <v>90525</v>
      </c>
      <c r="Y483" s="35">
        <v>10.51</v>
      </c>
      <c r="Z483" s="1" t="s">
        <v>3011</v>
      </c>
      <c r="AA483" s="36">
        <v>76.4148</v>
      </c>
      <c r="AB483" s="54">
        <v>808.54399999999998</v>
      </c>
      <c r="AC483" s="54">
        <v>32.486142857142859</v>
      </c>
      <c r="AD483" s="36">
        <v>1125.6011999999998</v>
      </c>
    </row>
    <row r="484" spans="1:30" s="37" customFormat="1" ht="15.75" customHeight="1" x14ac:dyDescent="0.2">
      <c r="A484" s="26">
        <v>2778</v>
      </c>
      <c r="B484" s="27" t="s">
        <v>1106</v>
      </c>
      <c r="C484" s="27" t="s">
        <v>38</v>
      </c>
      <c r="D484" s="28">
        <v>0.08</v>
      </c>
      <c r="E484" s="29">
        <v>205.99</v>
      </c>
      <c r="F484" s="29">
        <v>8.99</v>
      </c>
      <c r="G484" s="30" t="s">
        <v>39</v>
      </c>
      <c r="H484" s="27" t="s">
        <v>40</v>
      </c>
      <c r="I484" s="27" t="s">
        <v>41</v>
      </c>
      <c r="J484" s="27" t="s">
        <v>135</v>
      </c>
      <c r="K484" s="27" t="s">
        <v>73</v>
      </c>
      <c r="L484" s="31" t="s">
        <v>663</v>
      </c>
      <c r="M484" s="32">
        <v>0.56000000000000005</v>
      </c>
      <c r="N484" s="27" t="s">
        <v>33</v>
      </c>
      <c r="O484" s="27" t="s">
        <v>34</v>
      </c>
      <c r="P484" s="27" t="s">
        <v>97</v>
      </c>
      <c r="Q484" s="27" t="s">
        <v>1108</v>
      </c>
      <c r="R484" s="33">
        <v>28403</v>
      </c>
      <c r="S484" s="34">
        <v>42046</v>
      </c>
      <c r="T484" s="34">
        <v>42047</v>
      </c>
      <c r="U484" s="29">
        <v>-1963.752</v>
      </c>
      <c r="V484" s="26">
        <v>5</v>
      </c>
      <c r="W484" s="29">
        <v>837.64</v>
      </c>
      <c r="X484" s="26">
        <v>87160</v>
      </c>
      <c r="Y484" s="35">
        <v>5.9600000000000009</v>
      </c>
      <c r="Z484" s="1" t="s">
        <v>3011</v>
      </c>
      <c r="AA484" s="36">
        <v>82.396000000000015</v>
      </c>
      <c r="AB484" s="54">
        <v>368.56159999999994</v>
      </c>
      <c r="AC484" s="54">
        <v>93.81568</v>
      </c>
      <c r="AD484" s="36">
        <v>2710.0059999999999</v>
      </c>
    </row>
    <row r="485" spans="1:30" s="37" customFormat="1" ht="15.75" customHeight="1" x14ac:dyDescent="0.2">
      <c r="A485" s="26">
        <v>2072</v>
      </c>
      <c r="B485" s="27" t="s">
        <v>920</v>
      </c>
      <c r="C485" s="27" t="s">
        <v>38</v>
      </c>
      <c r="D485" s="28">
        <v>0.01</v>
      </c>
      <c r="E485" s="29">
        <v>10.52</v>
      </c>
      <c r="F485" s="29">
        <v>7.94</v>
      </c>
      <c r="G485" s="30" t="s">
        <v>39</v>
      </c>
      <c r="H485" s="27" t="s">
        <v>94</v>
      </c>
      <c r="I485" s="27" t="s">
        <v>29</v>
      </c>
      <c r="J485" s="27" t="s">
        <v>126</v>
      </c>
      <c r="K485" s="27" t="s">
        <v>43</v>
      </c>
      <c r="L485" s="31" t="s">
        <v>1104</v>
      </c>
      <c r="M485" s="32">
        <v>0.52</v>
      </c>
      <c r="N485" s="27" t="s">
        <v>33</v>
      </c>
      <c r="O485" s="27" t="s">
        <v>53</v>
      </c>
      <c r="P485" s="27" t="s">
        <v>289</v>
      </c>
      <c r="Q485" s="27" t="s">
        <v>922</v>
      </c>
      <c r="R485" s="33">
        <v>48505</v>
      </c>
      <c r="S485" s="34">
        <v>42046</v>
      </c>
      <c r="T485" s="34">
        <v>42048</v>
      </c>
      <c r="U485" s="29">
        <v>-15.8184</v>
      </c>
      <c r="V485" s="26">
        <v>11</v>
      </c>
      <c r="W485" s="29">
        <v>123.93</v>
      </c>
      <c r="X485" s="26">
        <v>88556</v>
      </c>
      <c r="Y485" s="35">
        <v>2036.47</v>
      </c>
      <c r="Z485" s="1" t="s">
        <v>3012</v>
      </c>
      <c r="AA485" s="36">
        <v>1.1572</v>
      </c>
      <c r="AB485" s="54">
        <v>59.486400000000003</v>
      </c>
      <c r="AC485" s="54">
        <v>5.8585090909090916</v>
      </c>
      <c r="AD485" s="36">
        <v>130.65120000000002</v>
      </c>
    </row>
    <row r="486" spans="1:30" s="37" customFormat="1" ht="15.75" customHeight="1" x14ac:dyDescent="0.2">
      <c r="A486" s="26">
        <v>2072</v>
      </c>
      <c r="B486" s="27" t="s">
        <v>920</v>
      </c>
      <c r="C486" s="27" t="s">
        <v>38</v>
      </c>
      <c r="D486" s="28">
        <v>0.02</v>
      </c>
      <c r="E486" s="29">
        <v>5.98</v>
      </c>
      <c r="F486" s="29">
        <v>7.5</v>
      </c>
      <c r="G486" s="30" t="s">
        <v>87</v>
      </c>
      <c r="H486" s="27" t="s">
        <v>94</v>
      </c>
      <c r="I486" s="27" t="s">
        <v>49</v>
      </c>
      <c r="J486" s="27" t="s">
        <v>88</v>
      </c>
      <c r="K486" s="27" t="s">
        <v>73</v>
      </c>
      <c r="L486" s="31" t="s">
        <v>1105</v>
      </c>
      <c r="M486" s="32">
        <v>0.4</v>
      </c>
      <c r="N486" s="27" t="s">
        <v>33</v>
      </c>
      <c r="O486" s="27" t="s">
        <v>53</v>
      </c>
      <c r="P486" s="27" t="s">
        <v>289</v>
      </c>
      <c r="Q486" s="27" t="s">
        <v>922</v>
      </c>
      <c r="R486" s="33">
        <v>48505</v>
      </c>
      <c r="S486" s="34">
        <v>42046</v>
      </c>
      <c r="T486" s="34">
        <v>42048</v>
      </c>
      <c r="U486" s="29">
        <v>-55.8324</v>
      </c>
      <c r="V486" s="26">
        <v>14</v>
      </c>
      <c r="W486" s="29">
        <v>93.96</v>
      </c>
      <c r="X486" s="26">
        <v>88556</v>
      </c>
      <c r="Y486" s="35">
        <v>205.94</v>
      </c>
      <c r="Z486" s="1" t="s">
        <v>3012</v>
      </c>
      <c r="AA486" s="36">
        <v>1.6744000000000001</v>
      </c>
      <c r="AB486" s="54">
        <v>56.375999999999998</v>
      </c>
      <c r="AC486" s="54">
        <v>2.6845714285714286</v>
      </c>
      <c r="AD486" s="36">
        <v>140.61799999999999</v>
      </c>
    </row>
    <row r="487" spans="1:30" s="37" customFormat="1" ht="15.75" customHeight="1" x14ac:dyDescent="0.2">
      <c r="A487" s="26">
        <v>757</v>
      </c>
      <c r="B487" s="27" t="s">
        <v>1112</v>
      </c>
      <c r="C487" s="27" t="s">
        <v>3094</v>
      </c>
      <c r="D487" s="28">
        <v>0.03</v>
      </c>
      <c r="E487" s="29">
        <v>37.94</v>
      </c>
      <c r="F487" s="29">
        <v>5.08</v>
      </c>
      <c r="G487" s="30" t="s">
        <v>39</v>
      </c>
      <c r="H487" s="27" t="s">
        <v>71</v>
      </c>
      <c r="I487" s="27" t="s">
        <v>49</v>
      </c>
      <c r="J487" s="27" t="s">
        <v>88</v>
      </c>
      <c r="K487" s="27" t="s">
        <v>51</v>
      </c>
      <c r="L487" s="31" t="s">
        <v>1113</v>
      </c>
      <c r="M487" s="32">
        <v>0.38</v>
      </c>
      <c r="N487" s="27" t="s">
        <v>33</v>
      </c>
      <c r="O487" s="27" t="s">
        <v>60</v>
      </c>
      <c r="P487" s="27" t="s">
        <v>139</v>
      </c>
      <c r="Q487" s="27" t="s">
        <v>1114</v>
      </c>
      <c r="R487" s="33">
        <v>97062</v>
      </c>
      <c r="S487" s="34">
        <v>42046</v>
      </c>
      <c r="T487" s="34">
        <v>42048</v>
      </c>
      <c r="U487" s="29">
        <v>-7.5244</v>
      </c>
      <c r="V487" s="26">
        <v>1</v>
      </c>
      <c r="W487" s="29">
        <v>39.97</v>
      </c>
      <c r="X487" s="26">
        <v>90258</v>
      </c>
      <c r="Y487" s="35">
        <v>205.91</v>
      </c>
      <c r="Z487" s="1" t="s">
        <v>3013</v>
      </c>
      <c r="AA487" s="36">
        <v>1.1381999999999999</v>
      </c>
      <c r="AB487" s="54">
        <v>24.781399999999998</v>
      </c>
      <c r="AC487" s="54">
        <v>15.188599999999999</v>
      </c>
      <c r="AD487" s="36">
        <v>41.276199999999996</v>
      </c>
    </row>
    <row r="488" spans="1:30" s="37" customFormat="1" ht="15.75" customHeight="1" x14ac:dyDescent="0.2">
      <c r="A488" s="26">
        <v>1354</v>
      </c>
      <c r="B488" s="27" t="s">
        <v>1101</v>
      </c>
      <c r="C488" s="27" t="s">
        <v>38</v>
      </c>
      <c r="D488" s="28">
        <v>0.04</v>
      </c>
      <c r="E488" s="29">
        <v>4.9800000000000004</v>
      </c>
      <c r="F488" s="29">
        <v>0.49</v>
      </c>
      <c r="G488" s="30" t="s">
        <v>39</v>
      </c>
      <c r="H488" s="27" t="s">
        <v>40</v>
      </c>
      <c r="I488" s="27" t="s">
        <v>49</v>
      </c>
      <c r="J488" s="27" t="s">
        <v>152</v>
      </c>
      <c r="K488" s="27" t="s">
        <v>73</v>
      </c>
      <c r="L488" s="31" t="s">
        <v>1103</v>
      </c>
      <c r="M488" s="32">
        <v>0.39</v>
      </c>
      <c r="N488" s="27" t="s">
        <v>33</v>
      </c>
      <c r="O488" s="27" t="s">
        <v>53</v>
      </c>
      <c r="P488" s="27" t="s">
        <v>187</v>
      </c>
      <c r="Q488" s="27" t="s">
        <v>1102</v>
      </c>
      <c r="R488" s="33">
        <v>76086</v>
      </c>
      <c r="S488" s="34">
        <v>42046</v>
      </c>
      <c r="T488" s="34">
        <v>42048</v>
      </c>
      <c r="U488" s="29">
        <v>4.4104000000000001</v>
      </c>
      <c r="V488" s="26">
        <v>2</v>
      </c>
      <c r="W488" s="29">
        <v>10.039999999999999</v>
      </c>
      <c r="X488" s="26">
        <v>91209</v>
      </c>
      <c r="Y488" s="35">
        <v>90.91</v>
      </c>
      <c r="Z488" s="1" t="s">
        <v>3012</v>
      </c>
      <c r="AA488" s="36">
        <v>0.39840000000000003</v>
      </c>
      <c r="AB488" s="54">
        <v>6.1243999999999996</v>
      </c>
      <c r="AC488" s="54">
        <v>1.9578</v>
      </c>
      <c r="AD488" s="36">
        <v>4.7411999999999992</v>
      </c>
    </row>
    <row r="489" spans="1:30" s="37" customFormat="1" ht="15.75" customHeight="1" x14ac:dyDescent="0.2">
      <c r="A489" s="26">
        <v>1354</v>
      </c>
      <c r="B489" s="27" t="s">
        <v>1101</v>
      </c>
      <c r="C489" s="27" t="s">
        <v>38</v>
      </c>
      <c r="D489" s="28">
        <v>0.1</v>
      </c>
      <c r="E489" s="29">
        <v>4.13</v>
      </c>
      <c r="F489" s="29">
        <v>0.99</v>
      </c>
      <c r="G489" s="30" t="s">
        <v>39</v>
      </c>
      <c r="H489" s="27" t="s">
        <v>40</v>
      </c>
      <c r="I489" s="27" t="s">
        <v>49</v>
      </c>
      <c r="J489" s="27" t="s">
        <v>152</v>
      </c>
      <c r="K489" s="27" t="s">
        <v>73</v>
      </c>
      <c r="L489" s="31" t="s">
        <v>326</v>
      </c>
      <c r="M489" s="32">
        <v>0.39</v>
      </c>
      <c r="N489" s="27" t="s">
        <v>33</v>
      </c>
      <c r="O489" s="27" t="s">
        <v>53</v>
      </c>
      <c r="P489" s="27" t="s">
        <v>187</v>
      </c>
      <c r="Q489" s="27" t="s">
        <v>1102</v>
      </c>
      <c r="R489" s="33">
        <v>76086</v>
      </c>
      <c r="S489" s="34">
        <v>42046</v>
      </c>
      <c r="T489" s="34">
        <v>42046</v>
      </c>
      <c r="U489" s="29">
        <v>-1.0711999999999999</v>
      </c>
      <c r="V489" s="26">
        <v>2</v>
      </c>
      <c r="W489" s="29">
        <v>8.3000000000000007</v>
      </c>
      <c r="X489" s="26">
        <v>91209</v>
      </c>
      <c r="Y489" s="35">
        <v>37.909999999999997</v>
      </c>
      <c r="Z489" s="1" t="s">
        <v>3012</v>
      </c>
      <c r="AA489" s="36">
        <v>0.82600000000000007</v>
      </c>
      <c r="AB489" s="54">
        <v>5.0630000000000006</v>
      </c>
      <c r="AC489" s="54">
        <v>1.6185000000000003</v>
      </c>
      <c r="AD489" s="36">
        <v>7.555200000000001</v>
      </c>
    </row>
    <row r="490" spans="1:30" s="37" customFormat="1" ht="15.75" customHeight="1" x14ac:dyDescent="0.2">
      <c r="A490" s="26">
        <v>16</v>
      </c>
      <c r="B490" s="27" t="s">
        <v>1115</v>
      </c>
      <c r="C490" s="27" t="s">
        <v>38</v>
      </c>
      <c r="D490" s="28">
        <v>0.05</v>
      </c>
      <c r="E490" s="29">
        <v>115.99</v>
      </c>
      <c r="F490" s="29">
        <v>2.5</v>
      </c>
      <c r="G490" s="30" t="s">
        <v>39</v>
      </c>
      <c r="H490" s="27" t="s">
        <v>3095</v>
      </c>
      <c r="I490" s="27" t="s">
        <v>41</v>
      </c>
      <c r="J490" s="27" t="s">
        <v>135</v>
      </c>
      <c r="K490" s="27" t="s">
        <v>73</v>
      </c>
      <c r="L490" s="31" t="s">
        <v>1118</v>
      </c>
      <c r="M490" s="32">
        <v>0.55000000000000004</v>
      </c>
      <c r="N490" s="27" t="s">
        <v>33</v>
      </c>
      <c r="O490" s="27" t="s">
        <v>111</v>
      </c>
      <c r="P490" s="27" t="s">
        <v>112</v>
      </c>
      <c r="Q490" s="27" t="s">
        <v>1117</v>
      </c>
      <c r="R490" s="33">
        <v>13210</v>
      </c>
      <c r="S490" s="34">
        <v>42047</v>
      </c>
      <c r="T490" s="34">
        <v>42049</v>
      </c>
      <c r="U490" s="29">
        <v>652.73310000000004</v>
      </c>
      <c r="V490" s="26">
        <v>10</v>
      </c>
      <c r="W490" s="29">
        <v>945.99</v>
      </c>
      <c r="X490" s="26">
        <v>86836</v>
      </c>
      <c r="Y490" s="35">
        <v>2.94</v>
      </c>
      <c r="Z490" s="1" t="s">
        <v>3014</v>
      </c>
      <c r="AA490" s="36">
        <v>57.995000000000005</v>
      </c>
      <c r="AB490" s="54">
        <v>425.69549999999998</v>
      </c>
      <c r="AC490" s="54">
        <v>52.029450000000004</v>
      </c>
      <c r="AD490" s="36">
        <v>232.76189999999997</v>
      </c>
    </row>
    <row r="491" spans="1:30" s="37" customFormat="1" ht="15.75" customHeight="1" x14ac:dyDescent="0.2">
      <c r="A491" s="26">
        <v>1298</v>
      </c>
      <c r="B491" s="27" t="s">
        <v>1139</v>
      </c>
      <c r="C491" s="27" t="s">
        <v>3094</v>
      </c>
      <c r="D491" s="28">
        <v>0.04</v>
      </c>
      <c r="E491" s="29">
        <v>150.97999999999999</v>
      </c>
      <c r="F491" s="29">
        <v>13.99</v>
      </c>
      <c r="G491" s="30" t="s">
        <v>39</v>
      </c>
      <c r="H491" s="27" t="s">
        <v>71</v>
      </c>
      <c r="I491" s="27" t="s">
        <v>41</v>
      </c>
      <c r="J491" s="27" t="s">
        <v>57</v>
      </c>
      <c r="K491" s="27" t="s">
        <v>144</v>
      </c>
      <c r="L491" s="31" t="s">
        <v>782</v>
      </c>
      <c r="M491" s="32">
        <v>0.38</v>
      </c>
      <c r="N491" s="27" t="s">
        <v>33</v>
      </c>
      <c r="O491" s="27" t="s">
        <v>53</v>
      </c>
      <c r="P491" s="27" t="s">
        <v>187</v>
      </c>
      <c r="Q491" s="27" t="s">
        <v>1140</v>
      </c>
      <c r="R491" s="33">
        <v>75482</v>
      </c>
      <c r="S491" s="34">
        <v>42047</v>
      </c>
      <c r="T491" s="34">
        <v>42050</v>
      </c>
      <c r="U491" s="29">
        <v>606.05460000000005</v>
      </c>
      <c r="V491" s="26">
        <v>6</v>
      </c>
      <c r="W491" s="29">
        <v>878.34</v>
      </c>
      <c r="X491" s="26">
        <v>90662</v>
      </c>
      <c r="Y491" s="35">
        <v>115.94</v>
      </c>
      <c r="Z491" s="1" t="s">
        <v>3012</v>
      </c>
      <c r="AA491" s="36">
        <v>36.235199999999999</v>
      </c>
      <c r="AB491" s="54">
        <v>544.57079999999996</v>
      </c>
      <c r="AC491" s="54">
        <v>55.628200000000007</v>
      </c>
      <c r="AD491" s="36">
        <v>222.06020000000001</v>
      </c>
    </row>
    <row r="492" spans="1:30" s="37" customFormat="1" ht="15.75" customHeight="1" x14ac:dyDescent="0.2">
      <c r="A492" s="26">
        <v>1298</v>
      </c>
      <c r="B492" s="27" t="s">
        <v>1139</v>
      </c>
      <c r="C492" s="27" t="s">
        <v>3094</v>
      </c>
      <c r="D492" s="28">
        <v>0.04</v>
      </c>
      <c r="E492" s="29">
        <v>176.19</v>
      </c>
      <c r="F492" s="29">
        <v>11.87</v>
      </c>
      <c r="G492" s="30" t="s">
        <v>39</v>
      </c>
      <c r="H492" s="27" t="s">
        <v>71</v>
      </c>
      <c r="I492" s="27" t="s">
        <v>49</v>
      </c>
      <c r="J492" s="27" t="s">
        <v>78</v>
      </c>
      <c r="K492" s="27" t="s">
        <v>73</v>
      </c>
      <c r="L492" s="31" t="s">
        <v>1141</v>
      </c>
      <c r="M492" s="32">
        <v>0.62</v>
      </c>
      <c r="N492" s="27" t="s">
        <v>33</v>
      </c>
      <c r="O492" s="27" t="s">
        <v>53</v>
      </c>
      <c r="P492" s="27" t="s">
        <v>187</v>
      </c>
      <c r="Q492" s="27" t="s">
        <v>1140</v>
      </c>
      <c r="R492" s="33">
        <v>75482</v>
      </c>
      <c r="S492" s="34">
        <v>42047</v>
      </c>
      <c r="T492" s="34">
        <v>42049</v>
      </c>
      <c r="U492" s="29">
        <v>320.10000000000002</v>
      </c>
      <c r="V492" s="26">
        <v>4</v>
      </c>
      <c r="W492" s="29">
        <v>676.57</v>
      </c>
      <c r="X492" s="26">
        <v>90662</v>
      </c>
      <c r="Y492" s="35">
        <v>58</v>
      </c>
      <c r="Z492" s="1" t="s">
        <v>3012</v>
      </c>
      <c r="AA492" s="36">
        <v>28.1904</v>
      </c>
      <c r="AB492" s="54">
        <v>257.09660000000002</v>
      </c>
      <c r="AC492" s="54">
        <v>104.86835000000001</v>
      </c>
      <c r="AD492" s="36">
        <v>316.40960000000001</v>
      </c>
    </row>
    <row r="493" spans="1:30" s="37" customFormat="1" ht="15.75" customHeight="1" x14ac:dyDescent="0.2">
      <c r="A493" s="26">
        <v>3046</v>
      </c>
      <c r="B493" s="27" t="s">
        <v>1124</v>
      </c>
      <c r="C493" s="27" t="s">
        <v>38</v>
      </c>
      <c r="D493" s="28">
        <v>0.05</v>
      </c>
      <c r="E493" s="29">
        <v>120.98</v>
      </c>
      <c r="F493" s="29">
        <v>30</v>
      </c>
      <c r="G493" s="30" t="s">
        <v>27</v>
      </c>
      <c r="H493" s="27" t="s">
        <v>3095</v>
      </c>
      <c r="I493" s="27" t="s">
        <v>29</v>
      </c>
      <c r="J493" s="27" t="s">
        <v>109</v>
      </c>
      <c r="K493" s="27" t="s">
        <v>58</v>
      </c>
      <c r="L493" s="31" t="s">
        <v>1125</v>
      </c>
      <c r="M493" s="32">
        <v>0.64</v>
      </c>
      <c r="N493" s="27" t="s">
        <v>33</v>
      </c>
      <c r="O493" s="27" t="s">
        <v>53</v>
      </c>
      <c r="P493" s="27" t="s">
        <v>537</v>
      </c>
      <c r="Q493" s="27" t="s">
        <v>758</v>
      </c>
      <c r="R493" s="33">
        <v>66209</v>
      </c>
      <c r="S493" s="34">
        <v>42047</v>
      </c>
      <c r="T493" s="34">
        <v>42049</v>
      </c>
      <c r="U493" s="29">
        <v>-78.759200000000007</v>
      </c>
      <c r="V493" s="26">
        <v>2</v>
      </c>
      <c r="W493" s="29">
        <v>251.06</v>
      </c>
      <c r="X493" s="26">
        <v>86103</v>
      </c>
      <c r="Y493" s="35">
        <v>80.47</v>
      </c>
      <c r="Z493" s="1" t="s">
        <v>3012</v>
      </c>
      <c r="AA493" s="36">
        <v>12.098000000000001</v>
      </c>
      <c r="AB493" s="54">
        <v>90.381599999999992</v>
      </c>
      <c r="AC493" s="54">
        <v>80.339200000000005</v>
      </c>
      <c r="AD493" s="36">
        <v>287.72120000000001</v>
      </c>
    </row>
    <row r="494" spans="1:30" s="37" customFormat="1" ht="15.75" customHeight="1" x14ac:dyDescent="0.2">
      <c r="A494" s="26">
        <v>190</v>
      </c>
      <c r="B494" s="27" t="s">
        <v>1119</v>
      </c>
      <c r="C494" s="27" t="s">
        <v>38</v>
      </c>
      <c r="D494" s="28">
        <v>0.1</v>
      </c>
      <c r="E494" s="29">
        <v>58.1</v>
      </c>
      <c r="F494" s="29">
        <v>1.49</v>
      </c>
      <c r="G494" s="30" t="s">
        <v>39</v>
      </c>
      <c r="H494" s="27" t="s">
        <v>94</v>
      </c>
      <c r="I494" s="27" t="s">
        <v>49</v>
      </c>
      <c r="J494" s="27" t="s">
        <v>72</v>
      </c>
      <c r="K494" s="27" t="s">
        <v>73</v>
      </c>
      <c r="L494" s="31" t="s">
        <v>622</v>
      </c>
      <c r="M494" s="32">
        <v>0.38</v>
      </c>
      <c r="N494" s="27" t="s">
        <v>33</v>
      </c>
      <c r="O494" s="27" t="s">
        <v>53</v>
      </c>
      <c r="P494" s="27" t="s">
        <v>103</v>
      </c>
      <c r="Q494" s="27" t="s">
        <v>1120</v>
      </c>
      <c r="R494" s="33">
        <v>60004</v>
      </c>
      <c r="S494" s="34">
        <v>42047</v>
      </c>
      <c r="T494" s="34">
        <v>42048</v>
      </c>
      <c r="U494" s="29">
        <v>113.6499</v>
      </c>
      <c r="V494" s="26">
        <v>3</v>
      </c>
      <c r="W494" s="29">
        <v>164.71</v>
      </c>
      <c r="X494" s="26">
        <v>89092</v>
      </c>
      <c r="Y494" s="35">
        <v>120.93</v>
      </c>
      <c r="Z494" s="1" t="s">
        <v>3012</v>
      </c>
      <c r="AA494" s="36">
        <v>17.43</v>
      </c>
      <c r="AB494" s="54">
        <v>102.12020000000001</v>
      </c>
      <c r="AC494" s="54">
        <v>20.863266666666668</v>
      </c>
      <c r="AD494" s="36">
        <v>32.140100000000018</v>
      </c>
    </row>
    <row r="495" spans="1:30" s="37" customFormat="1" ht="15.75" customHeight="1" x14ac:dyDescent="0.2">
      <c r="A495" s="26">
        <v>191</v>
      </c>
      <c r="B495" s="27" t="s">
        <v>1121</v>
      </c>
      <c r="C495" s="27" t="s">
        <v>38</v>
      </c>
      <c r="D495" s="28">
        <v>0.01</v>
      </c>
      <c r="E495" s="29">
        <v>80.48</v>
      </c>
      <c r="F495" s="29">
        <v>4.5</v>
      </c>
      <c r="G495" s="30" t="s">
        <v>39</v>
      </c>
      <c r="H495" s="27" t="s">
        <v>94</v>
      </c>
      <c r="I495" s="27" t="s">
        <v>49</v>
      </c>
      <c r="J495" s="27" t="s">
        <v>95</v>
      </c>
      <c r="K495" s="27" t="s">
        <v>73</v>
      </c>
      <c r="L495" s="31" t="s">
        <v>1122</v>
      </c>
      <c r="M495" s="32">
        <v>0.55000000000000004</v>
      </c>
      <c r="N495" s="27" t="s">
        <v>33</v>
      </c>
      <c r="O495" s="27" t="s">
        <v>53</v>
      </c>
      <c r="P495" s="27" t="s">
        <v>103</v>
      </c>
      <c r="Q495" s="27" t="s">
        <v>1123</v>
      </c>
      <c r="R495" s="33">
        <v>60505</v>
      </c>
      <c r="S495" s="34">
        <v>42047</v>
      </c>
      <c r="T495" s="34">
        <v>42050</v>
      </c>
      <c r="U495" s="29">
        <v>-35.474400000000003</v>
      </c>
      <c r="V495" s="26">
        <v>1</v>
      </c>
      <c r="W495" s="29">
        <v>79.680000000000007</v>
      </c>
      <c r="X495" s="26">
        <v>89092</v>
      </c>
      <c r="Y495" s="35">
        <v>7.21</v>
      </c>
      <c r="Z495" s="1" t="s">
        <v>3012</v>
      </c>
      <c r="AA495" s="36">
        <v>0.80480000000000007</v>
      </c>
      <c r="AB495" s="54">
        <v>35.856000000000002</v>
      </c>
      <c r="AC495" s="54">
        <v>43.824000000000005</v>
      </c>
      <c r="AD495" s="36">
        <v>109.84960000000001</v>
      </c>
    </row>
    <row r="496" spans="1:30" s="37" customFormat="1" ht="15.75" customHeight="1" x14ac:dyDescent="0.2">
      <c r="A496" s="26">
        <v>3324</v>
      </c>
      <c r="B496" s="27" t="s">
        <v>1135</v>
      </c>
      <c r="C496" s="27" t="s">
        <v>116</v>
      </c>
      <c r="D496" s="28">
        <v>0.05</v>
      </c>
      <c r="E496" s="29">
        <v>6.48</v>
      </c>
      <c r="F496" s="29">
        <v>8.19</v>
      </c>
      <c r="G496" s="30" t="s">
        <v>39</v>
      </c>
      <c r="H496" s="27" t="s">
        <v>40</v>
      </c>
      <c r="I496" s="27" t="s">
        <v>49</v>
      </c>
      <c r="J496" s="27" t="s">
        <v>88</v>
      </c>
      <c r="K496" s="27" t="s">
        <v>73</v>
      </c>
      <c r="L496" s="31" t="s">
        <v>899</v>
      </c>
      <c r="M496" s="32">
        <v>0.37</v>
      </c>
      <c r="N496" s="27" t="s">
        <v>33</v>
      </c>
      <c r="O496" s="27" t="s">
        <v>60</v>
      </c>
      <c r="P496" s="27" t="s">
        <v>588</v>
      </c>
      <c r="Q496" s="27" t="s">
        <v>1136</v>
      </c>
      <c r="R496" s="33">
        <v>85335</v>
      </c>
      <c r="S496" s="34">
        <v>42047</v>
      </c>
      <c r="T496" s="34">
        <v>42050</v>
      </c>
      <c r="U496" s="29">
        <v>-164.18</v>
      </c>
      <c r="V496" s="26">
        <v>9</v>
      </c>
      <c r="W496" s="29">
        <v>58.5</v>
      </c>
      <c r="X496" s="26">
        <v>90985</v>
      </c>
      <c r="Y496" s="35">
        <v>6.62</v>
      </c>
      <c r="Z496" s="1" t="s">
        <v>3013</v>
      </c>
      <c r="AA496" s="36">
        <v>2.9160000000000004</v>
      </c>
      <c r="AB496" s="54">
        <v>36.854999999999997</v>
      </c>
      <c r="AC496" s="54">
        <v>2.4049999999999998</v>
      </c>
      <c r="AD496" s="36">
        <v>211.57400000000001</v>
      </c>
    </row>
    <row r="497" spans="1:30" s="37" customFormat="1" ht="15.75" customHeight="1" x14ac:dyDescent="0.2">
      <c r="A497" s="26">
        <v>1743</v>
      </c>
      <c r="B497" s="27" t="s">
        <v>1129</v>
      </c>
      <c r="C497" s="27" t="s">
        <v>116</v>
      </c>
      <c r="D497" s="28">
        <v>0</v>
      </c>
      <c r="E497" s="29">
        <v>55.99</v>
      </c>
      <c r="F497" s="29">
        <v>2.5</v>
      </c>
      <c r="G497" s="30" t="s">
        <v>39</v>
      </c>
      <c r="H497" s="27" t="s">
        <v>40</v>
      </c>
      <c r="I497" s="27" t="s">
        <v>41</v>
      </c>
      <c r="J497" s="27" t="s">
        <v>135</v>
      </c>
      <c r="K497" s="27" t="s">
        <v>43</v>
      </c>
      <c r="L497" s="31" t="s">
        <v>1130</v>
      </c>
      <c r="M497" s="32">
        <v>0.83</v>
      </c>
      <c r="N497" s="27" t="s">
        <v>33</v>
      </c>
      <c r="O497" s="27" t="s">
        <v>53</v>
      </c>
      <c r="P497" s="27" t="s">
        <v>187</v>
      </c>
      <c r="Q497" s="27" t="s">
        <v>1131</v>
      </c>
      <c r="R497" s="33">
        <v>77546</v>
      </c>
      <c r="S497" s="34">
        <v>42047</v>
      </c>
      <c r="T497" s="34">
        <v>42049</v>
      </c>
      <c r="U497" s="29">
        <v>-121.05808</v>
      </c>
      <c r="V497" s="26">
        <v>1</v>
      </c>
      <c r="W497" s="29">
        <v>52.1</v>
      </c>
      <c r="X497" s="26">
        <v>91025</v>
      </c>
      <c r="Y497" s="35">
        <v>55.99</v>
      </c>
      <c r="Z497" s="1" t="s">
        <v>3012</v>
      </c>
      <c r="AA497" s="36">
        <v>0</v>
      </c>
      <c r="AB497" s="54">
        <v>8.8570000000000029</v>
      </c>
      <c r="AC497" s="54">
        <v>43.243000000000002</v>
      </c>
      <c r="AD497" s="36">
        <v>170.65808000000001</v>
      </c>
    </row>
    <row r="498" spans="1:30" s="37" customFormat="1" ht="15.75" customHeight="1" x14ac:dyDescent="0.2">
      <c r="A498" s="26">
        <v>954</v>
      </c>
      <c r="B498" s="27" t="s">
        <v>1126</v>
      </c>
      <c r="C498" s="27" t="s">
        <v>48</v>
      </c>
      <c r="D498" s="28">
        <v>0.08</v>
      </c>
      <c r="E498" s="29">
        <v>6.7</v>
      </c>
      <c r="F498" s="29">
        <v>1.56</v>
      </c>
      <c r="G498" s="30" t="s">
        <v>39</v>
      </c>
      <c r="H498" s="27" t="s">
        <v>3095</v>
      </c>
      <c r="I498" s="27" t="s">
        <v>49</v>
      </c>
      <c r="J498" s="27" t="s">
        <v>50</v>
      </c>
      <c r="K498" s="27" t="s">
        <v>51</v>
      </c>
      <c r="L498" s="31" t="s">
        <v>1046</v>
      </c>
      <c r="M498" s="32">
        <v>0.52</v>
      </c>
      <c r="N498" s="27" t="s">
        <v>33</v>
      </c>
      <c r="O498" s="27" t="s">
        <v>53</v>
      </c>
      <c r="P498" s="27" t="s">
        <v>187</v>
      </c>
      <c r="Q498" s="27" t="s">
        <v>1128</v>
      </c>
      <c r="R498" s="33">
        <v>75067</v>
      </c>
      <c r="S498" s="34">
        <v>42047</v>
      </c>
      <c r="T498" s="34">
        <v>42047</v>
      </c>
      <c r="U498" s="29">
        <v>10.56</v>
      </c>
      <c r="V498" s="26">
        <v>5</v>
      </c>
      <c r="W498" s="29">
        <v>31.21</v>
      </c>
      <c r="X498" s="26">
        <v>90771</v>
      </c>
      <c r="Y498" s="35">
        <v>12.5</v>
      </c>
      <c r="Z498" s="1" t="s">
        <v>3012</v>
      </c>
      <c r="AA498" s="36">
        <v>2.68</v>
      </c>
      <c r="AB498" s="54">
        <v>14.9808</v>
      </c>
      <c r="AC498" s="54">
        <v>3.2458400000000003</v>
      </c>
      <c r="AD498" s="36">
        <v>16.41</v>
      </c>
    </row>
    <row r="499" spans="1:30" s="37" customFormat="1" ht="15.75" customHeight="1" x14ac:dyDescent="0.2">
      <c r="A499" s="26">
        <v>3369</v>
      </c>
      <c r="B499" s="27" t="s">
        <v>1137</v>
      </c>
      <c r="C499" s="27" t="s">
        <v>116</v>
      </c>
      <c r="D499" s="28">
        <v>0.06</v>
      </c>
      <c r="E499" s="29">
        <v>7.1</v>
      </c>
      <c r="F499" s="29">
        <v>6.05</v>
      </c>
      <c r="G499" s="30" t="s">
        <v>39</v>
      </c>
      <c r="H499" s="27" t="s">
        <v>71</v>
      </c>
      <c r="I499" s="27" t="s">
        <v>49</v>
      </c>
      <c r="J499" s="27" t="s">
        <v>72</v>
      </c>
      <c r="K499" s="27" t="s">
        <v>73</v>
      </c>
      <c r="L499" s="31" t="s">
        <v>251</v>
      </c>
      <c r="M499" s="32">
        <v>0.39</v>
      </c>
      <c r="N499" s="27" t="s">
        <v>33</v>
      </c>
      <c r="O499" s="27" t="s">
        <v>111</v>
      </c>
      <c r="P499" s="27" t="s">
        <v>317</v>
      </c>
      <c r="Q499" s="27" t="s">
        <v>1138</v>
      </c>
      <c r="R499" s="33">
        <v>43081</v>
      </c>
      <c r="S499" s="34">
        <v>42047</v>
      </c>
      <c r="T499" s="34">
        <v>42048</v>
      </c>
      <c r="U499" s="29">
        <v>-42.170499999999997</v>
      </c>
      <c r="V499" s="26">
        <v>4</v>
      </c>
      <c r="W499" s="29">
        <v>29.99</v>
      </c>
      <c r="X499" s="26">
        <v>90500</v>
      </c>
      <c r="Y499" s="35">
        <v>6.4300000000000006</v>
      </c>
      <c r="Z499" s="1" t="s">
        <v>3014</v>
      </c>
      <c r="AA499" s="36">
        <v>1.704</v>
      </c>
      <c r="AB499" s="54">
        <v>18.293899999999997</v>
      </c>
      <c r="AC499" s="54">
        <v>2.9240249999999999</v>
      </c>
      <c r="AD499" s="36">
        <v>64.406499999999994</v>
      </c>
    </row>
    <row r="500" spans="1:30" s="37" customFormat="1" ht="15.75" customHeight="1" x14ac:dyDescent="0.2">
      <c r="A500" s="26">
        <v>954</v>
      </c>
      <c r="B500" s="27" t="s">
        <v>1126</v>
      </c>
      <c r="C500" s="27" t="s">
        <v>48</v>
      </c>
      <c r="D500" s="28">
        <v>0.1</v>
      </c>
      <c r="E500" s="29">
        <v>7.31</v>
      </c>
      <c r="F500" s="29">
        <v>0.49</v>
      </c>
      <c r="G500" s="30" t="s">
        <v>39</v>
      </c>
      <c r="H500" s="27" t="s">
        <v>3095</v>
      </c>
      <c r="I500" s="27" t="s">
        <v>49</v>
      </c>
      <c r="J500" s="27" t="s">
        <v>152</v>
      </c>
      <c r="K500" s="27" t="s">
        <v>73</v>
      </c>
      <c r="L500" s="31" t="s">
        <v>1127</v>
      </c>
      <c r="M500" s="32">
        <v>0.38</v>
      </c>
      <c r="N500" s="27" t="s">
        <v>33</v>
      </c>
      <c r="O500" s="27" t="s">
        <v>53</v>
      </c>
      <c r="P500" s="27" t="s">
        <v>187</v>
      </c>
      <c r="Q500" s="27" t="s">
        <v>1128</v>
      </c>
      <c r="R500" s="33">
        <v>75067</v>
      </c>
      <c r="S500" s="34">
        <v>42047</v>
      </c>
      <c r="T500" s="34">
        <v>42056</v>
      </c>
      <c r="U500" s="29">
        <v>19.064699999999998</v>
      </c>
      <c r="V500" s="26">
        <v>4</v>
      </c>
      <c r="W500" s="29">
        <v>27.63</v>
      </c>
      <c r="X500" s="26">
        <v>90771</v>
      </c>
      <c r="Y500" s="35">
        <v>7.04</v>
      </c>
      <c r="Z500" s="1" t="s">
        <v>3012</v>
      </c>
      <c r="AA500" s="36">
        <v>2.9239999999999999</v>
      </c>
      <c r="AB500" s="54">
        <v>17.130599999999998</v>
      </c>
      <c r="AC500" s="54">
        <v>2.6248499999999999</v>
      </c>
      <c r="AD500" s="36">
        <v>5.1513000000000027</v>
      </c>
    </row>
    <row r="501" spans="1:30" s="37" customFormat="1" ht="15.75" customHeight="1" x14ac:dyDescent="0.2">
      <c r="A501" s="26">
        <v>2553</v>
      </c>
      <c r="B501" s="27" t="s">
        <v>1132</v>
      </c>
      <c r="C501" s="27" t="s">
        <v>116</v>
      </c>
      <c r="D501" s="28">
        <v>0.03</v>
      </c>
      <c r="E501" s="29">
        <v>12.53</v>
      </c>
      <c r="F501" s="29">
        <v>7.17</v>
      </c>
      <c r="G501" s="30" t="s">
        <v>39</v>
      </c>
      <c r="H501" s="27" t="s">
        <v>71</v>
      </c>
      <c r="I501" s="27" t="s">
        <v>49</v>
      </c>
      <c r="J501" s="27" t="s">
        <v>72</v>
      </c>
      <c r="K501" s="27" t="s">
        <v>73</v>
      </c>
      <c r="L501" s="31" t="s">
        <v>1133</v>
      </c>
      <c r="M501" s="32">
        <v>0.38</v>
      </c>
      <c r="N501" s="27" t="s">
        <v>33</v>
      </c>
      <c r="O501" s="27" t="s">
        <v>53</v>
      </c>
      <c r="P501" s="27" t="s">
        <v>357</v>
      </c>
      <c r="Q501" s="27" t="s">
        <v>1134</v>
      </c>
      <c r="R501" s="33">
        <v>53142</v>
      </c>
      <c r="S501" s="34">
        <v>42047</v>
      </c>
      <c r="T501" s="34">
        <v>42048</v>
      </c>
      <c r="U501" s="29">
        <v>-20.320499999999999</v>
      </c>
      <c r="V501" s="26">
        <v>1</v>
      </c>
      <c r="W501" s="29">
        <v>19.32</v>
      </c>
      <c r="X501" s="26">
        <v>86528</v>
      </c>
      <c r="Y501" s="35">
        <v>150.94</v>
      </c>
      <c r="Z501" s="1" t="s">
        <v>3012</v>
      </c>
      <c r="AA501" s="36">
        <v>0.37589999999999996</v>
      </c>
      <c r="AB501" s="54">
        <v>11.978400000000001</v>
      </c>
      <c r="AC501" s="54">
        <v>7.3416000000000006</v>
      </c>
      <c r="AD501" s="36">
        <v>32.0946</v>
      </c>
    </row>
    <row r="502" spans="1:30" s="37" customFormat="1" ht="15.75" customHeight="1" x14ac:dyDescent="0.2">
      <c r="A502" s="26">
        <v>16</v>
      </c>
      <c r="B502" s="27" t="s">
        <v>1115</v>
      </c>
      <c r="C502" s="27" t="s">
        <v>38</v>
      </c>
      <c r="D502" s="28">
        <v>0.04</v>
      </c>
      <c r="E502" s="29">
        <v>2.98</v>
      </c>
      <c r="F502" s="29">
        <v>1.58</v>
      </c>
      <c r="G502" s="30" t="s">
        <v>39</v>
      </c>
      <c r="H502" s="27" t="s">
        <v>3095</v>
      </c>
      <c r="I502" s="27" t="s">
        <v>49</v>
      </c>
      <c r="J502" s="27" t="s">
        <v>176</v>
      </c>
      <c r="K502" s="27" t="s">
        <v>51</v>
      </c>
      <c r="L502" s="31" t="s">
        <v>1116</v>
      </c>
      <c r="M502" s="32">
        <v>0.39</v>
      </c>
      <c r="N502" s="27" t="s">
        <v>33</v>
      </c>
      <c r="O502" s="27" t="s">
        <v>111</v>
      </c>
      <c r="P502" s="27" t="s">
        <v>112</v>
      </c>
      <c r="Q502" s="27" t="s">
        <v>1117</v>
      </c>
      <c r="R502" s="33">
        <v>13210</v>
      </c>
      <c r="S502" s="34">
        <v>42047</v>
      </c>
      <c r="T502" s="34">
        <v>42050</v>
      </c>
      <c r="U502" s="29">
        <v>2.63</v>
      </c>
      <c r="V502" s="26">
        <v>6</v>
      </c>
      <c r="W502" s="29">
        <v>18.8</v>
      </c>
      <c r="X502" s="26">
        <v>86836</v>
      </c>
      <c r="Y502" s="35">
        <v>176.15</v>
      </c>
      <c r="Z502" s="1" t="s">
        <v>3014</v>
      </c>
      <c r="AA502" s="36">
        <v>0.71520000000000006</v>
      </c>
      <c r="AB502" s="54">
        <v>11.468</v>
      </c>
      <c r="AC502" s="54">
        <v>1.222</v>
      </c>
      <c r="AD502" s="36">
        <v>13.8748</v>
      </c>
    </row>
    <row r="503" spans="1:30" s="37" customFormat="1" ht="15.75" customHeight="1" x14ac:dyDescent="0.2">
      <c r="A503" s="26">
        <v>3342</v>
      </c>
      <c r="B503" s="27" t="s">
        <v>1145</v>
      </c>
      <c r="C503" s="27" t="s">
        <v>26</v>
      </c>
      <c r="D503" s="28">
        <v>0.03</v>
      </c>
      <c r="E503" s="29">
        <v>194.3</v>
      </c>
      <c r="F503" s="29">
        <v>11.54</v>
      </c>
      <c r="G503" s="30" t="s">
        <v>39</v>
      </c>
      <c r="H503" s="27" t="s">
        <v>71</v>
      </c>
      <c r="I503" s="27" t="s">
        <v>29</v>
      </c>
      <c r="J503" s="27" t="s">
        <v>126</v>
      </c>
      <c r="K503" s="27" t="s">
        <v>65</v>
      </c>
      <c r="L503" s="31" t="s">
        <v>206</v>
      </c>
      <c r="M503" s="32">
        <v>0.59</v>
      </c>
      <c r="N503" s="27" t="s">
        <v>33</v>
      </c>
      <c r="O503" s="27" t="s">
        <v>111</v>
      </c>
      <c r="P503" s="27" t="s">
        <v>374</v>
      </c>
      <c r="Q503" s="27" t="s">
        <v>67</v>
      </c>
      <c r="R503" s="33">
        <v>20006</v>
      </c>
      <c r="S503" s="34">
        <v>42048</v>
      </c>
      <c r="T503" s="34">
        <v>42050</v>
      </c>
      <c r="U503" s="29">
        <v>2861.01</v>
      </c>
      <c r="V503" s="26">
        <v>42</v>
      </c>
      <c r="W503" s="29">
        <v>8549.0400000000009</v>
      </c>
      <c r="X503" s="26">
        <v>21572</v>
      </c>
      <c r="Y503" s="35">
        <v>120.96000000000001</v>
      </c>
      <c r="Z503" s="1" t="s">
        <v>3014</v>
      </c>
      <c r="AA503" s="36">
        <v>244.81799999999998</v>
      </c>
      <c r="AB503" s="54">
        <v>3505.1064000000006</v>
      </c>
      <c r="AC503" s="54">
        <v>120.09365714285715</v>
      </c>
      <c r="AD503" s="36">
        <v>5431.6720000000005</v>
      </c>
    </row>
    <row r="504" spans="1:30" s="37" customFormat="1" ht="15.75" customHeight="1" x14ac:dyDescent="0.2">
      <c r="A504" s="26">
        <v>3344</v>
      </c>
      <c r="B504" s="27" t="s">
        <v>1146</v>
      </c>
      <c r="C504" s="27" t="s">
        <v>26</v>
      </c>
      <c r="D504" s="28">
        <v>0.03</v>
      </c>
      <c r="E504" s="29">
        <v>194.3</v>
      </c>
      <c r="F504" s="29">
        <v>11.54</v>
      </c>
      <c r="G504" s="30" t="s">
        <v>39</v>
      </c>
      <c r="H504" s="27" t="s">
        <v>71</v>
      </c>
      <c r="I504" s="27" t="s">
        <v>29</v>
      </c>
      <c r="J504" s="27" t="s">
        <v>126</v>
      </c>
      <c r="K504" s="27" t="s">
        <v>65</v>
      </c>
      <c r="L504" s="31" t="s">
        <v>206</v>
      </c>
      <c r="M504" s="32">
        <v>0.59</v>
      </c>
      <c r="N504" s="27" t="s">
        <v>33</v>
      </c>
      <c r="O504" s="27" t="s">
        <v>53</v>
      </c>
      <c r="P504" s="27" t="s">
        <v>289</v>
      </c>
      <c r="Q504" s="27" t="s">
        <v>1147</v>
      </c>
      <c r="R504" s="33">
        <v>48307</v>
      </c>
      <c r="S504" s="34">
        <v>42048</v>
      </c>
      <c r="T504" s="34">
        <v>42050</v>
      </c>
      <c r="U504" s="29">
        <v>1544.9306999999999</v>
      </c>
      <c r="V504" s="26">
        <v>11</v>
      </c>
      <c r="W504" s="29">
        <v>2239.0300000000002</v>
      </c>
      <c r="X504" s="26">
        <v>89928</v>
      </c>
      <c r="Y504" s="35">
        <v>194.27</v>
      </c>
      <c r="Z504" s="1" t="s">
        <v>3012</v>
      </c>
      <c r="AA504" s="36">
        <v>64.119</v>
      </c>
      <c r="AB504" s="54">
        <v>918.0023000000001</v>
      </c>
      <c r="AC504" s="54">
        <v>120.09342727272727</v>
      </c>
      <c r="AD504" s="36">
        <v>618.44030000000043</v>
      </c>
    </row>
    <row r="505" spans="1:30" s="37" customFormat="1" ht="15.75" customHeight="1" x14ac:dyDescent="0.2">
      <c r="A505" s="26">
        <v>2020</v>
      </c>
      <c r="B505" s="27" t="s">
        <v>1142</v>
      </c>
      <c r="C505" s="27" t="s">
        <v>26</v>
      </c>
      <c r="D505" s="28">
        <v>0.02</v>
      </c>
      <c r="E505" s="29">
        <v>120.98</v>
      </c>
      <c r="F505" s="29">
        <v>58.64</v>
      </c>
      <c r="G505" s="30" t="s">
        <v>27</v>
      </c>
      <c r="H505" s="27" t="s">
        <v>71</v>
      </c>
      <c r="I505" s="27" t="s">
        <v>29</v>
      </c>
      <c r="J505" s="27" t="s">
        <v>117</v>
      </c>
      <c r="K505" s="27" t="s">
        <v>31</v>
      </c>
      <c r="L505" s="31" t="s">
        <v>1143</v>
      </c>
      <c r="M505" s="32">
        <v>0.75</v>
      </c>
      <c r="N505" s="27" t="s">
        <v>33</v>
      </c>
      <c r="O505" s="27" t="s">
        <v>111</v>
      </c>
      <c r="P505" s="27" t="s">
        <v>320</v>
      </c>
      <c r="Q505" s="27" t="s">
        <v>1144</v>
      </c>
      <c r="R505" s="33">
        <v>15239</v>
      </c>
      <c r="S505" s="34">
        <v>42048</v>
      </c>
      <c r="T505" s="34">
        <v>42050</v>
      </c>
      <c r="U505" s="29">
        <v>-1330.5</v>
      </c>
      <c r="V505" s="26">
        <v>11</v>
      </c>
      <c r="W505" s="29">
        <v>1370.99</v>
      </c>
      <c r="X505" s="26">
        <v>86933</v>
      </c>
      <c r="Y505" s="35">
        <v>194.27</v>
      </c>
      <c r="Z505" s="1" t="s">
        <v>3014</v>
      </c>
      <c r="AA505" s="36">
        <v>26.615600000000001</v>
      </c>
      <c r="AB505" s="54">
        <v>342.7475</v>
      </c>
      <c r="AC505" s="54">
        <v>93.476590909090916</v>
      </c>
      <c r="AD505" s="36">
        <v>2616.2343999999998</v>
      </c>
    </row>
    <row r="506" spans="1:30" s="37" customFormat="1" ht="15.75" customHeight="1" x14ac:dyDescent="0.2">
      <c r="A506" s="26">
        <v>2897</v>
      </c>
      <c r="B506" s="27" t="s">
        <v>1151</v>
      </c>
      <c r="C506" s="27" t="s">
        <v>38</v>
      </c>
      <c r="D506" s="28">
        <v>0.05</v>
      </c>
      <c r="E506" s="29">
        <v>80.97</v>
      </c>
      <c r="F506" s="29">
        <v>30.06</v>
      </c>
      <c r="G506" s="30" t="s">
        <v>27</v>
      </c>
      <c r="H506" s="27" t="s">
        <v>71</v>
      </c>
      <c r="I506" s="27" t="s">
        <v>41</v>
      </c>
      <c r="J506" s="27" t="s">
        <v>57</v>
      </c>
      <c r="K506" s="27" t="s">
        <v>31</v>
      </c>
      <c r="L506" s="31" t="s">
        <v>1152</v>
      </c>
      <c r="M506" s="32">
        <v>0.4</v>
      </c>
      <c r="N506" s="27" t="s">
        <v>33</v>
      </c>
      <c r="O506" s="27" t="s">
        <v>53</v>
      </c>
      <c r="P506" s="27" t="s">
        <v>84</v>
      </c>
      <c r="Q506" s="27" t="s">
        <v>1153</v>
      </c>
      <c r="R506" s="33">
        <v>55369</v>
      </c>
      <c r="S506" s="34">
        <v>42048</v>
      </c>
      <c r="T506" s="34">
        <v>42049</v>
      </c>
      <c r="U506" s="29">
        <v>565.17999999999995</v>
      </c>
      <c r="V506" s="26">
        <v>11</v>
      </c>
      <c r="W506" s="29">
        <v>904.25</v>
      </c>
      <c r="X506" s="26">
        <v>86926</v>
      </c>
      <c r="Y506" s="35">
        <v>124.46</v>
      </c>
      <c r="Z506" s="1" t="s">
        <v>3012</v>
      </c>
      <c r="AA506" s="36">
        <v>44.533499999999997</v>
      </c>
      <c r="AB506" s="54">
        <v>542.54999999999995</v>
      </c>
      <c r="AC506" s="54">
        <v>32.881818181818183</v>
      </c>
      <c r="AD506" s="36">
        <v>264.4765000000001</v>
      </c>
    </row>
    <row r="507" spans="1:30" s="37" customFormat="1" ht="15.75" customHeight="1" x14ac:dyDescent="0.2">
      <c r="A507" s="26">
        <v>1554</v>
      </c>
      <c r="B507" s="27" t="s">
        <v>1148</v>
      </c>
      <c r="C507" s="27" t="s">
        <v>38</v>
      </c>
      <c r="D507" s="28">
        <v>0.03</v>
      </c>
      <c r="E507" s="29">
        <v>124.49</v>
      </c>
      <c r="F507" s="29">
        <v>51.94</v>
      </c>
      <c r="G507" s="30" t="s">
        <v>27</v>
      </c>
      <c r="H507" s="27" t="s">
        <v>40</v>
      </c>
      <c r="I507" s="27" t="s">
        <v>29</v>
      </c>
      <c r="J507" s="27" t="s">
        <v>30</v>
      </c>
      <c r="K507" s="27" t="s">
        <v>31</v>
      </c>
      <c r="L507" s="31" t="s">
        <v>1149</v>
      </c>
      <c r="M507" s="32">
        <v>0.63</v>
      </c>
      <c r="N507" s="27" t="s">
        <v>33</v>
      </c>
      <c r="O507" s="27" t="s">
        <v>34</v>
      </c>
      <c r="P507" s="27" t="s">
        <v>35</v>
      </c>
      <c r="Q507" s="27" t="s">
        <v>1150</v>
      </c>
      <c r="R507" s="33">
        <v>39503</v>
      </c>
      <c r="S507" s="34">
        <v>42048</v>
      </c>
      <c r="T507" s="34">
        <v>42049</v>
      </c>
      <c r="U507" s="29">
        <v>-4.0179999999999998</v>
      </c>
      <c r="V507" s="26">
        <v>7</v>
      </c>
      <c r="W507" s="29">
        <v>894.88</v>
      </c>
      <c r="X507" s="26">
        <v>87487</v>
      </c>
      <c r="Y507" s="35">
        <v>80.92</v>
      </c>
      <c r="Z507" s="1" t="s">
        <v>3011</v>
      </c>
      <c r="AA507" s="36">
        <v>26.142899999999997</v>
      </c>
      <c r="AB507" s="54">
        <v>331.10559999999998</v>
      </c>
      <c r="AC507" s="54">
        <v>80.539200000000008</v>
      </c>
      <c r="AD507" s="36">
        <v>820.81510000000003</v>
      </c>
    </row>
    <row r="508" spans="1:30" s="37" customFormat="1" ht="15.75" customHeight="1" x14ac:dyDescent="0.2">
      <c r="A508" s="26">
        <v>3170</v>
      </c>
      <c r="B508" s="27" t="s">
        <v>1158</v>
      </c>
      <c r="C508" s="27" t="s">
        <v>116</v>
      </c>
      <c r="D508" s="28">
        <v>0.1</v>
      </c>
      <c r="E508" s="29">
        <v>7.28</v>
      </c>
      <c r="F508" s="29">
        <v>5.47</v>
      </c>
      <c r="G508" s="30" t="s">
        <v>39</v>
      </c>
      <c r="H508" s="27" t="s">
        <v>94</v>
      </c>
      <c r="I508" s="27" t="s">
        <v>49</v>
      </c>
      <c r="J508" s="27" t="s">
        <v>88</v>
      </c>
      <c r="K508" s="27" t="s">
        <v>73</v>
      </c>
      <c r="L508" s="31" t="s">
        <v>1159</v>
      </c>
      <c r="M508" s="32">
        <v>0.35</v>
      </c>
      <c r="N508" s="27" t="s">
        <v>33</v>
      </c>
      <c r="O508" s="27" t="s">
        <v>34</v>
      </c>
      <c r="P508" s="27" t="s">
        <v>123</v>
      </c>
      <c r="Q508" s="27" t="s">
        <v>1160</v>
      </c>
      <c r="R508" s="33">
        <v>34952</v>
      </c>
      <c r="S508" s="34">
        <v>42048</v>
      </c>
      <c r="T508" s="34">
        <v>42048</v>
      </c>
      <c r="U508" s="29">
        <v>167.334</v>
      </c>
      <c r="V508" s="26">
        <v>12</v>
      </c>
      <c r="W508" s="29">
        <v>83.14</v>
      </c>
      <c r="X508" s="26">
        <v>86489</v>
      </c>
      <c r="Y508" s="35">
        <v>6.48</v>
      </c>
      <c r="Z508" s="1" t="s">
        <v>3011</v>
      </c>
      <c r="AA508" s="36">
        <v>8.7360000000000007</v>
      </c>
      <c r="AB508" s="54">
        <v>54.041000000000004</v>
      </c>
      <c r="AC508" s="54">
        <v>2.4249166666666668</v>
      </c>
      <c r="AD508" s="36">
        <v>-98.399999999999991</v>
      </c>
    </row>
    <row r="509" spans="1:30" s="37" customFormat="1" ht="15.75" customHeight="1" x14ac:dyDescent="0.2">
      <c r="A509" s="26">
        <v>2058</v>
      </c>
      <c r="B509" s="27" t="s">
        <v>1155</v>
      </c>
      <c r="C509" s="27" t="s">
        <v>116</v>
      </c>
      <c r="D509" s="28">
        <v>7.0000000000000007E-2</v>
      </c>
      <c r="E509" s="29">
        <v>5.98</v>
      </c>
      <c r="F509" s="29">
        <v>5.46</v>
      </c>
      <c r="G509" s="30" t="s">
        <v>39</v>
      </c>
      <c r="H509" s="27" t="s">
        <v>94</v>
      </c>
      <c r="I509" s="27" t="s">
        <v>49</v>
      </c>
      <c r="J509" s="27" t="s">
        <v>88</v>
      </c>
      <c r="K509" s="27" t="s">
        <v>73</v>
      </c>
      <c r="L509" s="31" t="s">
        <v>1156</v>
      </c>
      <c r="M509" s="32">
        <v>0.36</v>
      </c>
      <c r="N509" s="27" t="s">
        <v>33</v>
      </c>
      <c r="O509" s="27" t="s">
        <v>34</v>
      </c>
      <c r="P509" s="27" t="s">
        <v>97</v>
      </c>
      <c r="Q509" s="27" t="s">
        <v>1157</v>
      </c>
      <c r="R509" s="33">
        <v>28601</v>
      </c>
      <c r="S509" s="34">
        <v>42048</v>
      </c>
      <c r="T509" s="34">
        <v>42050</v>
      </c>
      <c r="U509" s="29">
        <v>46.65</v>
      </c>
      <c r="V509" s="26">
        <v>5</v>
      </c>
      <c r="W509" s="29">
        <v>32.76</v>
      </c>
      <c r="X509" s="26">
        <v>88040</v>
      </c>
      <c r="Y509" s="35">
        <v>5.91</v>
      </c>
      <c r="Z509" s="1" t="s">
        <v>3011</v>
      </c>
      <c r="AA509" s="36">
        <v>2.0930000000000004</v>
      </c>
      <c r="AB509" s="54">
        <v>20.9664</v>
      </c>
      <c r="AC509" s="54">
        <v>2.3587199999999999</v>
      </c>
      <c r="AD509" s="36">
        <v>-21.443000000000005</v>
      </c>
    </row>
    <row r="510" spans="1:30" s="37" customFormat="1" ht="15.75" customHeight="1" x14ac:dyDescent="0.2">
      <c r="A510" s="26">
        <v>2897</v>
      </c>
      <c r="B510" s="27" t="s">
        <v>1151</v>
      </c>
      <c r="C510" s="27" t="s">
        <v>38</v>
      </c>
      <c r="D510" s="28">
        <v>0</v>
      </c>
      <c r="E510" s="29">
        <v>6.48</v>
      </c>
      <c r="F510" s="29">
        <v>10.050000000000001</v>
      </c>
      <c r="G510" s="30" t="s">
        <v>39</v>
      </c>
      <c r="H510" s="27" t="s">
        <v>71</v>
      </c>
      <c r="I510" s="27" t="s">
        <v>49</v>
      </c>
      <c r="J510" s="27" t="s">
        <v>88</v>
      </c>
      <c r="K510" s="27" t="s">
        <v>73</v>
      </c>
      <c r="L510" s="31" t="s">
        <v>1154</v>
      </c>
      <c r="M510" s="32">
        <v>0.37</v>
      </c>
      <c r="N510" s="27" t="s">
        <v>33</v>
      </c>
      <c r="O510" s="27" t="s">
        <v>53</v>
      </c>
      <c r="P510" s="27" t="s">
        <v>84</v>
      </c>
      <c r="Q510" s="27" t="s">
        <v>1153</v>
      </c>
      <c r="R510" s="33">
        <v>55369</v>
      </c>
      <c r="S510" s="34">
        <v>42048</v>
      </c>
      <c r="T510" s="34">
        <v>42050</v>
      </c>
      <c r="U510" s="29">
        <v>-38.72</v>
      </c>
      <c r="V510" s="26">
        <v>2</v>
      </c>
      <c r="W510" s="29">
        <v>16.309999999999999</v>
      </c>
      <c r="X510" s="26">
        <v>86926</v>
      </c>
      <c r="Y510" s="35">
        <v>7.1800000000000006</v>
      </c>
      <c r="Z510" s="1" t="s">
        <v>3012</v>
      </c>
      <c r="AA510" s="36">
        <v>0</v>
      </c>
      <c r="AB510" s="54">
        <v>10.2753</v>
      </c>
      <c r="AC510" s="54">
        <v>3.0173499999999995</v>
      </c>
      <c r="AD510" s="36">
        <v>44.98</v>
      </c>
    </row>
    <row r="511" spans="1:30" s="37" customFormat="1" ht="15.75" customHeight="1" x14ac:dyDescent="0.2">
      <c r="A511" s="26">
        <v>640</v>
      </c>
      <c r="B511" s="27" t="s">
        <v>1185</v>
      </c>
      <c r="C511" s="27" t="s">
        <v>3094</v>
      </c>
      <c r="D511" s="28">
        <v>0</v>
      </c>
      <c r="E511" s="29">
        <v>236.97</v>
      </c>
      <c r="F511" s="29">
        <v>59.24</v>
      </c>
      <c r="G511" s="30" t="s">
        <v>27</v>
      </c>
      <c r="H511" s="27" t="s">
        <v>40</v>
      </c>
      <c r="I511" s="27" t="s">
        <v>29</v>
      </c>
      <c r="J511" s="27" t="s">
        <v>30</v>
      </c>
      <c r="K511" s="27" t="s">
        <v>31</v>
      </c>
      <c r="L511" s="31" t="s">
        <v>1183</v>
      </c>
      <c r="M511" s="32">
        <v>0.61</v>
      </c>
      <c r="N511" s="27" t="s">
        <v>33</v>
      </c>
      <c r="O511" s="27" t="s">
        <v>60</v>
      </c>
      <c r="P511" s="27" t="s">
        <v>67</v>
      </c>
      <c r="Q511" s="27" t="s">
        <v>142</v>
      </c>
      <c r="R511" s="33">
        <v>98119</v>
      </c>
      <c r="S511" s="34">
        <v>42049</v>
      </c>
      <c r="T511" s="34">
        <v>42050</v>
      </c>
      <c r="U511" s="29">
        <v>1192.04</v>
      </c>
      <c r="V511" s="26">
        <v>34</v>
      </c>
      <c r="W511" s="29">
        <v>6686.34</v>
      </c>
      <c r="X511" s="26">
        <v>56452</v>
      </c>
      <c r="Y511" s="35">
        <v>16.93</v>
      </c>
      <c r="Z511" s="1" t="s">
        <v>3013</v>
      </c>
      <c r="AA511" s="36">
        <v>0</v>
      </c>
      <c r="AB511" s="54">
        <v>2607.6726000000003</v>
      </c>
      <c r="AC511" s="54">
        <v>119.96080588235294</v>
      </c>
      <c r="AD511" s="36">
        <v>5435.06</v>
      </c>
    </row>
    <row r="512" spans="1:30" s="37" customFormat="1" ht="15.75" customHeight="1" x14ac:dyDescent="0.2">
      <c r="A512" s="26">
        <v>2190</v>
      </c>
      <c r="B512" s="27" t="s">
        <v>1161</v>
      </c>
      <c r="C512" s="27" t="s">
        <v>26</v>
      </c>
      <c r="D512" s="28">
        <v>0.03</v>
      </c>
      <c r="E512" s="29">
        <v>115.99</v>
      </c>
      <c r="F512" s="29">
        <v>4.2300000000000004</v>
      </c>
      <c r="G512" s="30" t="s">
        <v>39</v>
      </c>
      <c r="H512" s="27" t="s">
        <v>71</v>
      </c>
      <c r="I512" s="27" t="s">
        <v>41</v>
      </c>
      <c r="J512" s="27" t="s">
        <v>135</v>
      </c>
      <c r="K512" s="27" t="s">
        <v>73</v>
      </c>
      <c r="L512" s="31" t="s">
        <v>1164</v>
      </c>
      <c r="M512" s="32">
        <v>0.56000000000000005</v>
      </c>
      <c r="N512" s="27" t="s">
        <v>33</v>
      </c>
      <c r="O512" s="27" t="s">
        <v>53</v>
      </c>
      <c r="P512" s="27" t="s">
        <v>289</v>
      </c>
      <c r="Q512" s="27" t="s">
        <v>1163</v>
      </c>
      <c r="R512" s="33">
        <v>48227</v>
      </c>
      <c r="S512" s="34">
        <v>42049</v>
      </c>
      <c r="T512" s="34">
        <v>42051</v>
      </c>
      <c r="U512" s="29">
        <v>722.24099999999999</v>
      </c>
      <c r="V512" s="26">
        <v>49</v>
      </c>
      <c r="W512" s="29">
        <v>5014.07</v>
      </c>
      <c r="X512" s="26">
        <v>41636</v>
      </c>
      <c r="Y512" s="35">
        <v>115.96</v>
      </c>
      <c r="Z512" s="1" t="s">
        <v>3012</v>
      </c>
      <c r="AA512" s="36">
        <v>170.50529999999998</v>
      </c>
      <c r="AB512" s="54">
        <v>2206.1907999999994</v>
      </c>
      <c r="AC512" s="54">
        <v>57.303657142857141</v>
      </c>
      <c r="AD512" s="36">
        <v>4117.0936999999994</v>
      </c>
    </row>
    <row r="513" spans="1:30" s="37" customFormat="1" ht="15.75" customHeight="1" x14ac:dyDescent="0.2">
      <c r="A513" s="26">
        <v>2491</v>
      </c>
      <c r="B513" s="27" t="s">
        <v>457</v>
      </c>
      <c r="C513" s="27" t="s">
        <v>26</v>
      </c>
      <c r="D513" s="28">
        <v>0.09</v>
      </c>
      <c r="E513" s="29">
        <v>348.21</v>
      </c>
      <c r="F513" s="29">
        <v>40.19</v>
      </c>
      <c r="G513" s="30" t="s">
        <v>27</v>
      </c>
      <c r="H513" s="27" t="s">
        <v>71</v>
      </c>
      <c r="I513" s="27" t="s">
        <v>29</v>
      </c>
      <c r="J513" s="27" t="s">
        <v>30</v>
      </c>
      <c r="K513" s="27" t="s">
        <v>31</v>
      </c>
      <c r="L513" s="31" t="s">
        <v>32</v>
      </c>
      <c r="M513" s="32">
        <v>0.62</v>
      </c>
      <c r="N513" s="27" t="s">
        <v>33</v>
      </c>
      <c r="O513" s="27" t="s">
        <v>60</v>
      </c>
      <c r="P513" s="27" t="s">
        <v>90</v>
      </c>
      <c r="Q513" s="27" t="s">
        <v>100</v>
      </c>
      <c r="R513" s="33">
        <v>90045</v>
      </c>
      <c r="S513" s="34">
        <v>42049</v>
      </c>
      <c r="T513" s="34">
        <v>42051</v>
      </c>
      <c r="U513" s="29">
        <v>-93.85</v>
      </c>
      <c r="V513" s="26">
        <v>8</v>
      </c>
      <c r="W513" s="29">
        <v>2651.21</v>
      </c>
      <c r="X513" s="26">
        <v>48836</v>
      </c>
      <c r="Y513" s="35">
        <v>16.93</v>
      </c>
      <c r="Z513" s="1" t="s">
        <v>3013</v>
      </c>
      <c r="AA513" s="36">
        <v>250.71119999999996</v>
      </c>
      <c r="AB513" s="54">
        <v>1007.4598</v>
      </c>
      <c r="AC513" s="54">
        <v>205.46877499999999</v>
      </c>
      <c r="AD513" s="36">
        <v>2454.1588000000002</v>
      </c>
    </row>
    <row r="514" spans="1:30" s="37" customFormat="1" ht="15.75" customHeight="1" x14ac:dyDescent="0.2">
      <c r="A514" s="26">
        <v>639</v>
      </c>
      <c r="B514" s="27" t="s">
        <v>1182</v>
      </c>
      <c r="C514" s="27" t="s">
        <v>3094</v>
      </c>
      <c r="D514" s="28">
        <v>0</v>
      </c>
      <c r="E514" s="29">
        <v>236.97</v>
      </c>
      <c r="F514" s="29">
        <v>59.24</v>
      </c>
      <c r="G514" s="30" t="s">
        <v>27</v>
      </c>
      <c r="H514" s="27" t="s">
        <v>40</v>
      </c>
      <c r="I514" s="27" t="s">
        <v>29</v>
      </c>
      <c r="J514" s="27" t="s">
        <v>30</v>
      </c>
      <c r="K514" s="27" t="s">
        <v>31</v>
      </c>
      <c r="L514" s="31" t="s">
        <v>1183</v>
      </c>
      <c r="M514" s="32">
        <v>0.61</v>
      </c>
      <c r="N514" s="27" t="s">
        <v>33</v>
      </c>
      <c r="O514" s="27" t="s">
        <v>60</v>
      </c>
      <c r="P514" s="27" t="s">
        <v>90</v>
      </c>
      <c r="Q514" s="27" t="s">
        <v>1184</v>
      </c>
      <c r="R514" s="33">
        <v>93454</v>
      </c>
      <c r="S514" s="34">
        <v>42049</v>
      </c>
      <c r="T514" s="34">
        <v>42050</v>
      </c>
      <c r="U514" s="29">
        <v>1192.04</v>
      </c>
      <c r="V514" s="26">
        <v>9</v>
      </c>
      <c r="W514" s="29">
        <v>1769.91</v>
      </c>
      <c r="X514" s="26">
        <v>87952</v>
      </c>
      <c r="Y514" s="35">
        <v>115.96</v>
      </c>
      <c r="Z514" s="1" t="s">
        <v>3013</v>
      </c>
      <c r="AA514" s="36">
        <v>0</v>
      </c>
      <c r="AB514" s="54">
        <v>690.26490000000001</v>
      </c>
      <c r="AC514" s="54">
        <v>119.96056666666667</v>
      </c>
      <c r="AD514" s="36">
        <v>518.63000000000011</v>
      </c>
    </row>
    <row r="515" spans="1:30" s="37" customFormat="1" ht="15.75" customHeight="1" x14ac:dyDescent="0.2">
      <c r="A515" s="26">
        <v>306</v>
      </c>
      <c r="B515" s="27" t="s">
        <v>1173</v>
      </c>
      <c r="C515" s="27" t="s">
        <v>38</v>
      </c>
      <c r="D515" s="28">
        <v>0.04</v>
      </c>
      <c r="E515" s="29">
        <v>85.99</v>
      </c>
      <c r="F515" s="29">
        <v>0.99</v>
      </c>
      <c r="G515" s="30" t="s">
        <v>39</v>
      </c>
      <c r="H515" s="27" t="s">
        <v>3095</v>
      </c>
      <c r="I515" s="27" t="s">
        <v>41</v>
      </c>
      <c r="J515" s="27" t="s">
        <v>135</v>
      </c>
      <c r="K515" s="27" t="s">
        <v>51</v>
      </c>
      <c r="L515" s="31" t="s">
        <v>1176</v>
      </c>
      <c r="M515" s="32">
        <v>0.55000000000000004</v>
      </c>
      <c r="N515" s="27" t="s">
        <v>33</v>
      </c>
      <c r="O515" s="27" t="s">
        <v>111</v>
      </c>
      <c r="P515" s="27" t="s">
        <v>418</v>
      </c>
      <c r="Q515" s="27" t="s">
        <v>1175</v>
      </c>
      <c r="R515" s="33">
        <v>21208</v>
      </c>
      <c r="S515" s="34">
        <v>42049</v>
      </c>
      <c r="T515" s="34">
        <v>42051</v>
      </c>
      <c r="U515" s="29">
        <v>855.99329999999998</v>
      </c>
      <c r="V515" s="26">
        <v>17</v>
      </c>
      <c r="W515" s="29">
        <v>1240.57</v>
      </c>
      <c r="X515" s="26">
        <v>87057</v>
      </c>
      <c r="Y515" s="35">
        <v>2.0300000000000002</v>
      </c>
      <c r="Z515" s="1" t="s">
        <v>3014</v>
      </c>
      <c r="AA515" s="36">
        <v>58.473199999999999</v>
      </c>
      <c r="AB515" s="54">
        <v>558.25649999999996</v>
      </c>
      <c r="AC515" s="54">
        <v>40.136088235294118</v>
      </c>
      <c r="AD515" s="36">
        <v>325.11349999999993</v>
      </c>
    </row>
    <row r="516" spans="1:30" s="37" customFormat="1" ht="15.75" customHeight="1" x14ac:dyDescent="0.2">
      <c r="A516" s="26">
        <v>2193</v>
      </c>
      <c r="B516" s="27" t="s">
        <v>1165</v>
      </c>
      <c r="C516" s="27" t="s">
        <v>26</v>
      </c>
      <c r="D516" s="28">
        <v>0.03</v>
      </c>
      <c r="E516" s="29">
        <v>115.99</v>
      </c>
      <c r="F516" s="29">
        <v>4.2300000000000004</v>
      </c>
      <c r="G516" s="30" t="s">
        <v>39</v>
      </c>
      <c r="H516" s="27" t="s">
        <v>71</v>
      </c>
      <c r="I516" s="27" t="s">
        <v>41</v>
      </c>
      <c r="J516" s="27" t="s">
        <v>135</v>
      </c>
      <c r="K516" s="27" t="s">
        <v>73</v>
      </c>
      <c r="L516" s="31" t="s">
        <v>1164</v>
      </c>
      <c r="M516" s="32">
        <v>0.56000000000000005</v>
      </c>
      <c r="N516" s="27" t="s">
        <v>33</v>
      </c>
      <c r="O516" s="27" t="s">
        <v>34</v>
      </c>
      <c r="P516" s="27" t="s">
        <v>97</v>
      </c>
      <c r="Q516" s="27" t="s">
        <v>98</v>
      </c>
      <c r="R516" s="33">
        <v>28560</v>
      </c>
      <c r="S516" s="34">
        <v>42049</v>
      </c>
      <c r="T516" s="34">
        <v>42051</v>
      </c>
      <c r="U516" s="29">
        <v>848.3646</v>
      </c>
      <c r="V516" s="26">
        <v>12</v>
      </c>
      <c r="W516" s="29">
        <v>1227.94</v>
      </c>
      <c r="X516" s="26">
        <v>90685</v>
      </c>
      <c r="Y516" s="35">
        <v>348.12</v>
      </c>
      <c r="Z516" s="1" t="s">
        <v>3011</v>
      </c>
      <c r="AA516" s="36">
        <v>41.756399999999999</v>
      </c>
      <c r="AB516" s="54">
        <v>540.29359999999997</v>
      </c>
      <c r="AC516" s="54">
        <v>57.303866666666671</v>
      </c>
      <c r="AD516" s="36">
        <v>333.58900000000006</v>
      </c>
    </row>
    <row r="517" spans="1:30" s="37" customFormat="1" ht="15.75" customHeight="1" x14ac:dyDescent="0.2">
      <c r="A517" s="26">
        <v>1156</v>
      </c>
      <c r="B517" s="27" t="s">
        <v>1178</v>
      </c>
      <c r="C517" s="27" t="s">
        <v>38</v>
      </c>
      <c r="D517" s="28">
        <v>0.06</v>
      </c>
      <c r="E517" s="29">
        <v>175.99</v>
      </c>
      <c r="F517" s="29">
        <v>8.99</v>
      </c>
      <c r="G517" s="30" t="s">
        <v>39</v>
      </c>
      <c r="H517" s="27" t="s">
        <v>40</v>
      </c>
      <c r="I517" s="27" t="s">
        <v>41</v>
      </c>
      <c r="J517" s="27" t="s">
        <v>135</v>
      </c>
      <c r="K517" s="27" t="s">
        <v>73</v>
      </c>
      <c r="L517" s="31" t="s">
        <v>1179</v>
      </c>
      <c r="M517" s="32">
        <v>0.56999999999999995</v>
      </c>
      <c r="N517" s="27" t="s">
        <v>33</v>
      </c>
      <c r="O517" s="27" t="s">
        <v>111</v>
      </c>
      <c r="P517" s="27" t="s">
        <v>403</v>
      </c>
      <c r="Q517" s="27" t="s">
        <v>1180</v>
      </c>
      <c r="R517" s="33">
        <v>1876</v>
      </c>
      <c r="S517" s="34">
        <v>42049</v>
      </c>
      <c r="T517" s="34">
        <v>42050</v>
      </c>
      <c r="U517" s="29">
        <v>48.47148</v>
      </c>
      <c r="V517" s="26">
        <v>7</v>
      </c>
      <c r="W517" s="29">
        <v>1013.84</v>
      </c>
      <c r="X517" s="26">
        <v>90855</v>
      </c>
      <c r="Y517" s="35">
        <v>348.12</v>
      </c>
      <c r="Z517" s="1" t="s">
        <v>3014</v>
      </c>
      <c r="AA517" s="36">
        <v>73.915800000000004</v>
      </c>
      <c r="AB517" s="54">
        <v>435.95120000000009</v>
      </c>
      <c r="AC517" s="54">
        <v>82.555542857142854</v>
      </c>
      <c r="AD517" s="36">
        <v>882.46271999999999</v>
      </c>
    </row>
    <row r="518" spans="1:30" s="37" customFormat="1" ht="15.75" customHeight="1" x14ac:dyDescent="0.2">
      <c r="A518" s="26">
        <v>2190</v>
      </c>
      <c r="B518" s="27" t="s">
        <v>1161</v>
      </c>
      <c r="C518" s="27" t="s">
        <v>26</v>
      </c>
      <c r="D518" s="28">
        <v>0.05</v>
      </c>
      <c r="E518" s="29">
        <v>16.98</v>
      </c>
      <c r="F518" s="29">
        <v>7.78</v>
      </c>
      <c r="G518" s="30" t="s">
        <v>39</v>
      </c>
      <c r="H518" s="27" t="s">
        <v>71</v>
      </c>
      <c r="I518" s="27" t="s">
        <v>49</v>
      </c>
      <c r="J518" s="27" t="s">
        <v>50</v>
      </c>
      <c r="K518" s="27" t="s">
        <v>43</v>
      </c>
      <c r="L518" s="31" t="s">
        <v>1162</v>
      </c>
      <c r="M518" s="32">
        <v>0.56999999999999995</v>
      </c>
      <c r="N518" s="27" t="s">
        <v>33</v>
      </c>
      <c r="O518" s="27" t="s">
        <v>53</v>
      </c>
      <c r="P518" s="27" t="s">
        <v>289</v>
      </c>
      <c r="Q518" s="27" t="s">
        <v>1163</v>
      </c>
      <c r="R518" s="33">
        <v>48227</v>
      </c>
      <c r="S518" s="34">
        <v>42049</v>
      </c>
      <c r="T518" s="34">
        <v>42051</v>
      </c>
      <c r="U518" s="29">
        <v>-47.28</v>
      </c>
      <c r="V518" s="26">
        <v>45</v>
      </c>
      <c r="W518" s="29">
        <v>761.67</v>
      </c>
      <c r="X518" s="26">
        <v>41636</v>
      </c>
      <c r="Y518" s="35">
        <v>1.73</v>
      </c>
      <c r="Z518" s="1" t="s">
        <v>3012</v>
      </c>
      <c r="AA518" s="36">
        <v>38.205000000000005</v>
      </c>
      <c r="AB518" s="54">
        <v>327.5181</v>
      </c>
      <c r="AC518" s="54">
        <v>9.6478199999999976</v>
      </c>
      <c r="AD518" s="36">
        <v>762.96499999999992</v>
      </c>
    </row>
    <row r="519" spans="1:30" s="37" customFormat="1" ht="15.75" customHeight="1" x14ac:dyDescent="0.2">
      <c r="A519" s="26">
        <v>2490</v>
      </c>
      <c r="B519" s="27" t="s">
        <v>454</v>
      </c>
      <c r="C519" s="27" t="s">
        <v>26</v>
      </c>
      <c r="D519" s="28">
        <v>0.09</v>
      </c>
      <c r="E519" s="29">
        <v>348.21</v>
      </c>
      <c r="F519" s="29">
        <v>40.19</v>
      </c>
      <c r="G519" s="30" t="s">
        <v>27</v>
      </c>
      <c r="H519" s="27" t="s">
        <v>71</v>
      </c>
      <c r="I519" s="27" t="s">
        <v>29</v>
      </c>
      <c r="J519" s="27" t="s">
        <v>30</v>
      </c>
      <c r="K519" s="27" t="s">
        <v>31</v>
      </c>
      <c r="L519" s="31" t="s">
        <v>32</v>
      </c>
      <c r="M519" s="32">
        <v>0.62</v>
      </c>
      <c r="N519" s="27" t="s">
        <v>33</v>
      </c>
      <c r="O519" s="27" t="s">
        <v>60</v>
      </c>
      <c r="P519" s="27" t="s">
        <v>90</v>
      </c>
      <c r="Q519" s="27" t="s">
        <v>456</v>
      </c>
      <c r="R519" s="33">
        <v>92627</v>
      </c>
      <c r="S519" s="34">
        <v>42049</v>
      </c>
      <c r="T519" s="34">
        <v>42051</v>
      </c>
      <c r="U519" s="29">
        <v>-93.85</v>
      </c>
      <c r="V519" s="26">
        <v>2</v>
      </c>
      <c r="W519" s="29">
        <v>662.8</v>
      </c>
      <c r="X519" s="26">
        <v>86884</v>
      </c>
      <c r="Y519" s="35">
        <v>4.4000000000000004</v>
      </c>
      <c r="Z519" s="1" t="s">
        <v>3013</v>
      </c>
      <c r="AA519" s="36">
        <v>62.677799999999991</v>
      </c>
      <c r="AB519" s="54">
        <v>251.86399999999998</v>
      </c>
      <c r="AC519" s="54">
        <v>205.46799999999999</v>
      </c>
      <c r="AD519" s="36">
        <v>653.78219999999999</v>
      </c>
    </row>
    <row r="520" spans="1:30" s="37" customFormat="1" ht="15.75" customHeight="1" x14ac:dyDescent="0.2">
      <c r="A520" s="26">
        <v>1682</v>
      </c>
      <c r="B520" s="27" t="s">
        <v>1186</v>
      </c>
      <c r="C520" s="27" t="s">
        <v>3094</v>
      </c>
      <c r="D520" s="28">
        <v>0.04</v>
      </c>
      <c r="E520" s="29">
        <v>6.28</v>
      </c>
      <c r="F520" s="29">
        <v>5.41</v>
      </c>
      <c r="G520" s="30" t="s">
        <v>39</v>
      </c>
      <c r="H520" s="27" t="s">
        <v>40</v>
      </c>
      <c r="I520" s="27" t="s">
        <v>29</v>
      </c>
      <c r="J520" s="27" t="s">
        <v>126</v>
      </c>
      <c r="K520" s="27" t="s">
        <v>73</v>
      </c>
      <c r="L520" s="31" t="s">
        <v>930</v>
      </c>
      <c r="M520" s="32">
        <v>0.53</v>
      </c>
      <c r="N520" s="27" t="s">
        <v>33</v>
      </c>
      <c r="O520" s="27" t="s">
        <v>53</v>
      </c>
      <c r="P520" s="27" t="s">
        <v>103</v>
      </c>
      <c r="Q520" s="27" t="s">
        <v>533</v>
      </c>
      <c r="R520" s="33">
        <v>60611</v>
      </c>
      <c r="S520" s="34">
        <v>42049</v>
      </c>
      <c r="T520" s="34">
        <v>42051</v>
      </c>
      <c r="U520" s="29">
        <v>-38.380000000000003</v>
      </c>
      <c r="V520" s="26">
        <v>43</v>
      </c>
      <c r="W520" s="29">
        <v>284.48</v>
      </c>
      <c r="X520" s="26">
        <v>14115</v>
      </c>
      <c r="Y520" s="35">
        <v>8.32</v>
      </c>
      <c r="Z520" s="1" t="s">
        <v>3012</v>
      </c>
      <c r="AA520" s="36">
        <v>10.801600000000002</v>
      </c>
      <c r="AB520" s="54">
        <v>133.7056</v>
      </c>
      <c r="AC520" s="54">
        <v>3.5063813953488379</v>
      </c>
      <c r="AD520" s="36">
        <v>306.64840000000004</v>
      </c>
    </row>
    <row r="521" spans="1:30" s="37" customFormat="1" ht="15.75" customHeight="1" x14ac:dyDescent="0.2">
      <c r="A521" s="26">
        <v>308</v>
      </c>
      <c r="B521" s="27" t="s">
        <v>1177</v>
      </c>
      <c r="C521" s="27" t="s">
        <v>38</v>
      </c>
      <c r="D521" s="28">
        <v>0.01</v>
      </c>
      <c r="E521" s="29">
        <v>8.33</v>
      </c>
      <c r="F521" s="29">
        <v>1.99</v>
      </c>
      <c r="G521" s="30" t="s">
        <v>39</v>
      </c>
      <c r="H521" s="27" t="s">
        <v>3095</v>
      </c>
      <c r="I521" s="27" t="s">
        <v>41</v>
      </c>
      <c r="J521" s="27" t="s">
        <v>42</v>
      </c>
      <c r="K521" s="27" t="s">
        <v>43</v>
      </c>
      <c r="L521" s="31" t="s">
        <v>1174</v>
      </c>
      <c r="M521" s="32">
        <v>0.52</v>
      </c>
      <c r="N521" s="27" t="s">
        <v>33</v>
      </c>
      <c r="O521" s="27" t="s">
        <v>60</v>
      </c>
      <c r="P521" s="27" t="s">
        <v>67</v>
      </c>
      <c r="Q521" s="27" t="s">
        <v>142</v>
      </c>
      <c r="R521" s="33">
        <v>98115</v>
      </c>
      <c r="S521" s="34">
        <v>42049</v>
      </c>
      <c r="T521" s="34">
        <v>42050</v>
      </c>
      <c r="U521" s="29">
        <v>10.74</v>
      </c>
      <c r="V521" s="26">
        <v>32</v>
      </c>
      <c r="W521" s="29">
        <v>280.62</v>
      </c>
      <c r="X521" s="26">
        <v>37760</v>
      </c>
      <c r="Y521" s="35">
        <v>85.949999999999989</v>
      </c>
      <c r="Z521" s="1" t="s">
        <v>3013</v>
      </c>
      <c r="AA521" s="36">
        <v>2.6656</v>
      </c>
      <c r="AB521" s="54">
        <v>134.69759999999999</v>
      </c>
      <c r="AC521" s="54">
        <v>4.5600750000000003</v>
      </c>
      <c r="AD521" s="36">
        <v>265.2244</v>
      </c>
    </row>
    <row r="522" spans="1:30" s="37" customFormat="1" ht="15.75" customHeight="1" x14ac:dyDescent="0.2">
      <c r="A522" s="26">
        <v>1745</v>
      </c>
      <c r="B522" s="27" t="s">
        <v>359</v>
      </c>
      <c r="C522" s="27" t="s">
        <v>48</v>
      </c>
      <c r="D522" s="28">
        <v>0.04</v>
      </c>
      <c r="E522" s="29">
        <v>60.65</v>
      </c>
      <c r="F522" s="29">
        <v>12.23</v>
      </c>
      <c r="G522" s="30" t="s">
        <v>39</v>
      </c>
      <c r="H522" s="27" t="s">
        <v>71</v>
      </c>
      <c r="I522" s="27" t="s">
        <v>29</v>
      </c>
      <c r="J522" s="27" t="s">
        <v>126</v>
      </c>
      <c r="K522" s="27" t="s">
        <v>144</v>
      </c>
      <c r="L522" s="31" t="s">
        <v>1181</v>
      </c>
      <c r="M522" s="32">
        <v>0.64</v>
      </c>
      <c r="N522" s="27" t="s">
        <v>33</v>
      </c>
      <c r="O522" s="27" t="s">
        <v>34</v>
      </c>
      <c r="P522" s="27" t="s">
        <v>75</v>
      </c>
      <c r="Q522" s="27" t="s">
        <v>361</v>
      </c>
      <c r="R522" s="33">
        <v>30305</v>
      </c>
      <c r="S522" s="34">
        <v>42049</v>
      </c>
      <c r="T522" s="34">
        <v>42051</v>
      </c>
      <c r="U522" s="29">
        <v>116.5063</v>
      </c>
      <c r="V522" s="26">
        <v>4</v>
      </c>
      <c r="W522" s="29">
        <v>256.77</v>
      </c>
      <c r="X522" s="26">
        <v>13408</v>
      </c>
      <c r="Y522" s="35">
        <v>8.32</v>
      </c>
      <c r="Z522" s="1" t="s">
        <v>3011</v>
      </c>
      <c r="AA522" s="36">
        <v>9.7040000000000006</v>
      </c>
      <c r="AB522" s="54">
        <v>92.43719999999999</v>
      </c>
      <c r="AC522" s="54">
        <v>41.083199999999998</v>
      </c>
      <c r="AD522" s="36">
        <v>118.32969999999997</v>
      </c>
    </row>
    <row r="523" spans="1:30" s="37" customFormat="1" ht="15.75" customHeight="1" x14ac:dyDescent="0.2">
      <c r="A523" s="26">
        <v>2193</v>
      </c>
      <c r="B523" s="27" t="s">
        <v>1165</v>
      </c>
      <c r="C523" s="27" t="s">
        <v>26</v>
      </c>
      <c r="D523" s="28">
        <v>0.05</v>
      </c>
      <c r="E523" s="29">
        <v>16.98</v>
      </c>
      <c r="F523" s="29">
        <v>7.78</v>
      </c>
      <c r="G523" s="30" t="s">
        <v>39</v>
      </c>
      <c r="H523" s="27" t="s">
        <v>71</v>
      </c>
      <c r="I523" s="27" t="s">
        <v>49</v>
      </c>
      <c r="J523" s="27" t="s">
        <v>50</v>
      </c>
      <c r="K523" s="27" t="s">
        <v>43</v>
      </c>
      <c r="L523" s="31" t="s">
        <v>1162</v>
      </c>
      <c r="M523" s="32">
        <v>0.56999999999999995</v>
      </c>
      <c r="N523" s="27" t="s">
        <v>33</v>
      </c>
      <c r="O523" s="27" t="s">
        <v>34</v>
      </c>
      <c r="P523" s="27" t="s">
        <v>97</v>
      </c>
      <c r="Q523" s="27" t="s">
        <v>98</v>
      </c>
      <c r="R523" s="33">
        <v>28560</v>
      </c>
      <c r="S523" s="34">
        <v>42049</v>
      </c>
      <c r="T523" s="34">
        <v>42051</v>
      </c>
      <c r="U523" s="29">
        <v>-161</v>
      </c>
      <c r="V523" s="26">
        <v>11</v>
      </c>
      <c r="W523" s="29">
        <v>186.19</v>
      </c>
      <c r="X523" s="26">
        <v>90685</v>
      </c>
      <c r="Y523" s="35">
        <v>175.93</v>
      </c>
      <c r="Z523" s="1" t="s">
        <v>3011</v>
      </c>
      <c r="AA523" s="36">
        <v>9.3390000000000004</v>
      </c>
      <c r="AB523" s="54">
        <v>80.061700000000002</v>
      </c>
      <c r="AC523" s="54">
        <v>9.6480272727272709</v>
      </c>
      <c r="AD523" s="36">
        <v>330.07100000000003</v>
      </c>
    </row>
    <row r="524" spans="1:30" s="37" customFormat="1" ht="15.75" customHeight="1" x14ac:dyDescent="0.2">
      <c r="A524" s="26">
        <v>3393</v>
      </c>
      <c r="B524" s="27" t="s">
        <v>1171</v>
      </c>
      <c r="C524" s="27" t="s">
        <v>26</v>
      </c>
      <c r="D524" s="28">
        <v>0.08</v>
      </c>
      <c r="E524" s="29">
        <v>4.4800000000000004</v>
      </c>
      <c r="F524" s="29">
        <v>2.5</v>
      </c>
      <c r="G524" s="30" t="s">
        <v>39</v>
      </c>
      <c r="H524" s="27" t="s">
        <v>40</v>
      </c>
      <c r="I524" s="27" t="s">
        <v>49</v>
      </c>
      <c r="J524" s="27" t="s">
        <v>345</v>
      </c>
      <c r="K524" s="27" t="s">
        <v>73</v>
      </c>
      <c r="L524" s="31" t="s">
        <v>1021</v>
      </c>
      <c r="M524" s="32">
        <v>0.37</v>
      </c>
      <c r="N524" s="27" t="s">
        <v>33</v>
      </c>
      <c r="O524" s="27" t="s">
        <v>60</v>
      </c>
      <c r="P524" s="27" t="s">
        <v>67</v>
      </c>
      <c r="Q524" s="27" t="s">
        <v>1172</v>
      </c>
      <c r="R524" s="33">
        <v>99163</v>
      </c>
      <c r="S524" s="34">
        <v>42049</v>
      </c>
      <c r="T524" s="34">
        <v>42050</v>
      </c>
      <c r="U524" s="29">
        <v>-3.2448000000000001</v>
      </c>
      <c r="V524" s="26">
        <v>19</v>
      </c>
      <c r="W524" s="29">
        <v>80.2</v>
      </c>
      <c r="X524" s="26">
        <v>87909</v>
      </c>
      <c r="Y524" s="35">
        <v>60.61</v>
      </c>
      <c r="Z524" s="1" t="s">
        <v>3013</v>
      </c>
      <c r="AA524" s="36">
        <v>6.8096000000000014</v>
      </c>
      <c r="AB524" s="54">
        <v>50.526000000000003</v>
      </c>
      <c r="AC524" s="54">
        <v>1.5617894736842106</v>
      </c>
      <c r="AD524" s="36">
        <v>74.135199999999998</v>
      </c>
    </row>
    <row r="525" spans="1:30" s="37" customFormat="1" ht="15.75" customHeight="1" x14ac:dyDescent="0.2">
      <c r="A525" s="26">
        <v>1683</v>
      </c>
      <c r="B525" s="27" t="s">
        <v>1187</v>
      </c>
      <c r="C525" s="27" t="s">
        <v>3094</v>
      </c>
      <c r="D525" s="28">
        <v>0.04</v>
      </c>
      <c r="E525" s="29">
        <v>6.28</v>
      </c>
      <c r="F525" s="29">
        <v>5.41</v>
      </c>
      <c r="G525" s="30" t="s">
        <v>39</v>
      </c>
      <c r="H525" s="27" t="s">
        <v>40</v>
      </c>
      <c r="I525" s="27" t="s">
        <v>29</v>
      </c>
      <c r="J525" s="27" t="s">
        <v>126</v>
      </c>
      <c r="K525" s="27" t="s">
        <v>73</v>
      </c>
      <c r="L525" s="31" t="s">
        <v>930</v>
      </c>
      <c r="M525" s="32">
        <v>0.53</v>
      </c>
      <c r="N525" s="27" t="s">
        <v>33</v>
      </c>
      <c r="O525" s="27" t="s">
        <v>53</v>
      </c>
      <c r="P525" s="27" t="s">
        <v>187</v>
      </c>
      <c r="Q525" s="27" t="s">
        <v>1188</v>
      </c>
      <c r="R525" s="33">
        <v>77301</v>
      </c>
      <c r="S525" s="34">
        <v>42049</v>
      </c>
      <c r="T525" s="34">
        <v>42051</v>
      </c>
      <c r="U525" s="29">
        <v>-19.957599999999999</v>
      </c>
      <c r="V525" s="26">
        <v>11</v>
      </c>
      <c r="W525" s="29">
        <v>72.77</v>
      </c>
      <c r="X525" s="26">
        <v>90612</v>
      </c>
      <c r="Y525" s="35">
        <v>60.61</v>
      </c>
      <c r="Z525" s="1" t="s">
        <v>3012</v>
      </c>
      <c r="AA525" s="36">
        <v>2.7632000000000003</v>
      </c>
      <c r="AB525" s="54">
        <v>34.201899999999995</v>
      </c>
      <c r="AC525" s="54">
        <v>3.5061909090909094</v>
      </c>
      <c r="AD525" s="36">
        <v>84.554399999999987</v>
      </c>
    </row>
    <row r="526" spans="1:30" s="37" customFormat="1" ht="15.75" customHeight="1" x14ac:dyDescent="0.2">
      <c r="A526" s="26">
        <v>306</v>
      </c>
      <c r="B526" s="27" t="s">
        <v>1173</v>
      </c>
      <c r="C526" s="27" t="s">
        <v>38</v>
      </c>
      <c r="D526" s="28">
        <v>0.01</v>
      </c>
      <c r="E526" s="29">
        <v>8.33</v>
      </c>
      <c r="F526" s="29">
        <v>1.99</v>
      </c>
      <c r="G526" s="30" t="s">
        <v>39</v>
      </c>
      <c r="H526" s="27" t="s">
        <v>3095</v>
      </c>
      <c r="I526" s="27" t="s">
        <v>41</v>
      </c>
      <c r="J526" s="27" t="s">
        <v>42</v>
      </c>
      <c r="K526" s="27" t="s">
        <v>43</v>
      </c>
      <c r="L526" s="31" t="s">
        <v>1174</v>
      </c>
      <c r="M526" s="32">
        <v>0.52</v>
      </c>
      <c r="N526" s="27" t="s">
        <v>33</v>
      </c>
      <c r="O526" s="27" t="s">
        <v>111</v>
      </c>
      <c r="P526" s="27" t="s">
        <v>418</v>
      </c>
      <c r="Q526" s="27" t="s">
        <v>1175</v>
      </c>
      <c r="R526" s="33">
        <v>21208</v>
      </c>
      <c r="S526" s="34">
        <v>42049</v>
      </c>
      <c r="T526" s="34">
        <v>42050</v>
      </c>
      <c r="U526" s="29">
        <v>15.895200000000001</v>
      </c>
      <c r="V526" s="26">
        <v>8</v>
      </c>
      <c r="W526" s="29">
        <v>70.16</v>
      </c>
      <c r="X526" s="26">
        <v>87057</v>
      </c>
      <c r="Y526" s="35">
        <v>236.97</v>
      </c>
      <c r="Z526" s="1" t="s">
        <v>3014</v>
      </c>
      <c r="AA526" s="36">
        <v>0.66639999999999999</v>
      </c>
      <c r="AB526" s="54">
        <v>33.6768</v>
      </c>
      <c r="AC526" s="54">
        <v>4.5603999999999996</v>
      </c>
      <c r="AD526" s="36">
        <v>51.608399999999996</v>
      </c>
    </row>
    <row r="527" spans="1:30" s="37" customFormat="1" ht="15.75" customHeight="1" x14ac:dyDescent="0.2">
      <c r="A527" s="26">
        <v>1749</v>
      </c>
      <c r="B527" s="27" t="s">
        <v>362</v>
      </c>
      <c r="C527" s="27" t="s">
        <v>48</v>
      </c>
      <c r="D527" s="28">
        <v>0.04</v>
      </c>
      <c r="E527" s="29">
        <v>60.65</v>
      </c>
      <c r="F527" s="29">
        <v>12.23</v>
      </c>
      <c r="G527" s="30" t="s">
        <v>39</v>
      </c>
      <c r="H527" s="27" t="s">
        <v>71</v>
      </c>
      <c r="I527" s="27" t="s">
        <v>29</v>
      </c>
      <c r="J527" s="27" t="s">
        <v>126</v>
      </c>
      <c r="K527" s="27" t="s">
        <v>144</v>
      </c>
      <c r="L527" s="31" t="s">
        <v>1181</v>
      </c>
      <c r="M527" s="32">
        <v>0.64</v>
      </c>
      <c r="N527" s="27" t="s">
        <v>33</v>
      </c>
      <c r="O527" s="27" t="s">
        <v>53</v>
      </c>
      <c r="P527" s="27" t="s">
        <v>207</v>
      </c>
      <c r="Q527" s="27" t="s">
        <v>363</v>
      </c>
      <c r="R527" s="33">
        <v>73505</v>
      </c>
      <c r="S527" s="34">
        <v>42049</v>
      </c>
      <c r="T527" s="34">
        <v>42051</v>
      </c>
      <c r="U527" s="29">
        <v>44.2911</v>
      </c>
      <c r="V527" s="26">
        <v>1</v>
      </c>
      <c r="W527" s="29">
        <v>64.19</v>
      </c>
      <c r="X527" s="26">
        <v>87244</v>
      </c>
      <c r="Y527" s="35">
        <v>236.97</v>
      </c>
      <c r="Z527" s="1" t="s">
        <v>3012</v>
      </c>
      <c r="AA527" s="36">
        <v>2.4260000000000002</v>
      </c>
      <c r="AB527" s="54">
        <v>23.1084</v>
      </c>
      <c r="AC527" s="54">
        <v>41.081600000000002</v>
      </c>
      <c r="AD527" s="36">
        <v>5.2428999999999917</v>
      </c>
    </row>
    <row r="528" spans="1:30" s="37" customFormat="1" ht="15.75" customHeight="1" x14ac:dyDescent="0.2">
      <c r="A528" s="26">
        <v>2358</v>
      </c>
      <c r="B528" s="27" t="s">
        <v>1166</v>
      </c>
      <c r="C528" s="27" t="s">
        <v>26</v>
      </c>
      <c r="D528" s="28">
        <v>0.05</v>
      </c>
      <c r="E528" s="29">
        <v>2.08</v>
      </c>
      <c r="F528" s="29">
        <v>2.56</v>
      </c>
      <c r="G528" s="30" t="s">
        <v>39</v>
      </c>
      <c r="H528" s="27" t="s">
        <v>71</v>
      </c>
      <c r="I528" s="27" t="s">
        <v>49</v>
      </c>
      <c r="J528" s="27" t="s">
        <v>568</v>
      </c>
      <c r="K528" s="27" t="s">
        <v>43</v>
      </c>
      <c r="L528" s="31" t="s">
        <v>1167</v>
      </c>
      <c r="M528" s="32">
        <v>0.55000000000000004</v>
      </c>
      <c r="N528" s="27" t="s">
        <v>33</v>
      </c>
      <c r="O528" s="27" t="s">
        <v>34</v>
      </c>
      <c r="P528" s="27" t="s">
        <v>123</v>
      </c>
      <c r="Q528" s="27" t="s">
        <v>1096</v>
      </c>
      <c r="R528" s="33">
        <v>33311</v>
      </c>
      <c r="S528" s="34">
        <v>42049</v>
      </c>
      <c r="T528" s="34">
        <v>42051</v>
      </c>
      <c r="U528" s="29">
        <v>-1045.0160000000001</v>
      </c>
      <c r="V528" s="26">
        <v>19</v>
      </c>
      <c r="W528" s="29">
        <v>40.93</v>
      </c>
      <c r="X528" s="26">
        <v>88268</v>
      </c>
      <c r="Y528" s="35">
        <v>6.24</v>
      </c>
      <c r="Z528" s="1" t="s">
        <v>3011</v>
      </c>
      <c r="AA528" s="36">
        <v>1.9760000000000002</v>
      </c>
      <c r="AB528" s="54">
        <v>18.418499999999998</v>
      </c>
      <c r="AC528" s="54">
        <v>1.1848157894736844</v>
      </c>
      <c r="AD528" s="36">
        <v>1081.4100000000001</v>
      </c>
    </row>
    <row r="529" spans="1:30" s="37" customFormat="1" ht="15.75" customHeight="1" x14ac:dyDescent="0.2">
      <c r="A529" s="26">
        <v>3069</v>
      </c>
      <c r="B529" s="27" t="s">
        <v>1168</v>
      </c>
      <c r="C529" s="27" t="s">
        <v>26</v>
      </c>
      <c r="D529" s="28">
        <v>0.09</v>
      </c>
      <c r="E529" s="29">
        <v>1.82</v>
      </c>
      <c r="F529" s="29">
        <v>0.83</v>
      </c>
      <c r="G529" s="30" t="s">
        <v>39</v>
      </c>
      <c r="H529" s="27" t="s">
        <v>40</v>
      </c>
      <c r="I529" s="27" t="s">
        <v>49</v>
      </c>
      <c r="J529" s="27" t="s">
        <v>50</v>
      </c>
      <c r="K529" s="27" t="s">
        <v>51</v>
      </c>
      <c r="L529" s="31" t="s">
        <v>1169</v>
      </c>
      <c r="M529" s="32">
        <v>0.56999999999999995</v>
      </c>
      <c r="N529" s="27" t="s">
        <v>33</v>
      </c>
      <c r="O529" s="27" t="s">
        <v>53</v>
      </c>
      <c r="P529" s="27" t="s">
        <v>84</v>
      </c>
      <c r="Q529" s="27" t="s">
        <v>1170</v>
      </c>
      <c r="R529" s="33">
        <v>55128</v>
      </c>
      <c r="S529" s="34">
        <v>42049</v>
      </c>
      <c r="T529" s="34">
        <v>42050</v>
      </c>
      <c r="U529" s="29">
        <v>-6.734</v>
      </c>
      <c r="V529" s="26">
        <v>22</v>
      </c>
      <c r="W529" s="29">
        <v>36.82</v>
      </c>
      <c r="X529" s="26">
        <v>88192</v>
      </c>
      <c r="Y529" s="35">
        <v>6.24</v>
      </c>
      <c r="Z529" s="1" t="s">
        <v>3012</v>
      </c>
      <c r="AA529" s="36">
        <v>3.6036000000000001</v>
      </c>
      <c r="AB529" s="54">
        <v>15.832600000000001</v>
      </c>
      <c r="AC529" s="54">
        <v>0.95397272727272719</v>
      </c>
      <c r="AD529" s="36">
        <v>39.120400000000004</v>
      </c>
    </row>
    <row r="530" spans="1:30" s="37" customFormat="1" ht="15.75" customHeight="1" x14ac:dyDescent="0.2">
      <c r="A530" s="26">
        <v>651</v>
      </c>
      <c r="B530" s="27" t="s">
        <v>294</v>
      </c>
      <c r="C530" s="27" t="s">
        <v>48</v>
      </c>
      <c r="D530" s="28">
        <v>0.04</v>
      </c>
      <c r="E530" s="29">
        <v>880.98</v>
      </c>
      <c r="F530" s="29">
        <v>44.55</v>
      </c>
      <c r="G530" s="30" t="s">
        <v>27</v>
      </c>
      <c r="H530" s="27" t="s">
        <v>40</v>
      </c>
      <c r="I530" s="27" t="s">
        <v>29</v>
      </c>
      <c r="J530" s="27" t="s">
        <v>117</v>
      </c>
      <c r="K530" s="27" t="s">
        <v>31</v>
      </c>
      <c r="L530" s="31" t="s">
        <v>238</v>
      </c>
      <c r="M530" s="32">
        <v>0.62</v>
      </c>
      <c r="N530" s="27" t="s">
        <v>33</v>
      </c>
      <c r="O530" s="27" t="s">
        <v>60</v>
      </c>
      <c r="P530" s="27" t="s">
        <v>296</v>
      </c>
      <c r="Q530" s="27" t="s">
        <v>297</v>
      </c>
      <c r="R530" s="33">
        <v>89115</v>
      </c>
      <c r="S530" s="34">
        <v>42050</v>
      </c>
      <c r="T530" s="34">
        <v>42054</v>
      </c>
      <c r="U530" s="29">
        <v>4233.2587999999996</v>
      </c>
      <c r="V530" s="26">
        <v>8</v>
      </c>
      <c r="W530" s="29">
        <v>6901.25</v>
      </c>
      <c r="X530" s="26">
        <v>91576</v>
      </c>
      <c r="Y530" s="35">
        <v>9.42</v>
      </c>
      <c r="Z530" s="1" t="s">
        <v>3013</v>
      </c>
      <c r="AA530" s="36">
        <v>281.91360000000003</v>
      </c>
      <c r="AB530" s="54">
        <v>2622.4749999999999</v>
      </c>
      <c r="AC530" s="54">
        <v>534.84687499999995</v>
      </c>
      <c r="AD530" s="36">
        <v>2341.5276000000003</v>
      </c>
    </row>
    <row r="531" spans="1:30" s="37" customFormat="1" ht="15.75" customHeight="1" x14ac:dyDescent="0.2">
      <c r="A531" s="26">
        <v>596</v>
      </c>
      <c r="B531" s="27" t="s">
        <v>1191</v>
      </c>
      <c r="C531" s="27" t="s">
        <v>26</v>
      </c>
      <c r="D531" s="28">
        <v>7.0000000000000007E-2</v>
      </c>
      <c r="E531" s="29">
        <v>417.4</v>
      </c>
      <c r="F531" s="29">
        <v>75.23</v>
      </c>
      <c r="G531" s="30" t="s">
        <v>27</v>
      </c>
      <c r="H531" s="27" t="s">
        <v>40</v>
      </c>
      <c r="I531" s="27" t="s">
        <v>29</v>
      </c>
      <c r="J531" s="27" t="s">
        <v>30</v>
      </c>
      <c r="K531" s="27" t="s">
        <v>31</v>
      </c>
      <c r="L531" s="31" t="s">
        <v>1195</v>
      </c>
      <c r="M531" s="32">
        <v>0.79</v>
      </c>
      <c r="N531" s="27" t="s">
        <v>33</v>
      </c>
      <c r="O531" s="27" t="s">
        <v>53</v>
      </c>
      <c r="P531" s="27" t="s">
        <v>54</v>
      </c>
      <c r="Q531" s="27" t="s">
        <v>1193</v>
      </c>
      <c r="R531" s="33">
        <v>46032</v>
      </c>
      <c r="S531" s="34">
        <v>42050</v>
      </c>
      <c r="T531" s="34">
        <v>42051</v>
      </c>
      <c r="U531" s="29">
        <v>-575.35199999999998</v>
      </c>
      <c r="V531" s="26">
        <v>12</v>
      </c>
      <c r="W531" s="29">
        <v>4910.72</v>
      </c>
      <c r="X531" s="26">
        <v>86308</v>
      </c>
      <c r="Y531" s="35">
        <v>3.77</v>
      </c>
      <c r="Z531" s="1" t="s">
        <v>3012</v>
      </c>
      <c r="AA531" s="36">
        <v>350.61599999999999</v>
      </c>
      <c r="AB531" s="54">
        <v>1031.2511999999999</v>
      </c>
      <c r="AC531" s="54">
        <v>323.28906666666671</v>
      </c>
      <c r="AD531" s="36">
        <v>5060.2260000000006</v>
      </c>
    </row>
    <row r="532" spans="1:30" s="37" customFormat="1" ht="15.75" customHeight="1" x14ac:dyDescent="0.2">
      <c r="A532" s="26">
        <v>2951</v>
      </c>
      <c r="B532" s="27" t="s">
        <v>1209</v>
      </c>
      <c r="C532" s="27" t="s">
        <v>116</v>
      </c>
      <c r="D532" s="28">
        <v>0.03</v>
      </c>
      <c r="E532" s="29">
        <v>89.99</v>
      </c>
      <c r="F532" s="29">
        <v>42</v>
      </c>
      <c r="G532" s="30" t="s">
        <v>27</v>
      </c>
      <c r="H532" s="27" t="s">
        <v>94</v>
      </c>
      <c r="I532" s="27" t="s">
        <v>29</v>
      </c>
      <c r="J532" s="27" t="s">
        <v>109</v>
      </c>
      <c r="K532" s="27" t="s">
        <v>58</v>
      </c>
      <c r="L532" s="31" t="s">
        <v>1211</v>
      </c>
      <c r="M532" s="32">
        <v>0.66</v>
      </c>
      <c r="N532" s="27" t="s">
        <v>33</v>
      </c>
      <c r="O532" s="27" t="s">
        <v>53</v>
      </c>
      <c r="P532" s="27" t="s">
        <v>537</v>
      </c>
      <c r="Q532" s="27" t="s">
        <v>1210</v>
      </c>
      <c r="R532" s="33">
        <v>67601</v>
      </c>
      <c r="S532" s="34">
        <v>42050</v>
      </c>
      <c r="T532" s="34">
        <v>42053</v>
      </c>
      <c r="U532" s="29">
        <v>-230.9528</v>
      </c>
      <c r="V532" s="26">
        <v>19</v>
      </c>
      <c r="W532" s="29">
        <v>1809.75</v>
      </c>
      <c r="X532" s="26">
        <v>91397</v>
      </c>
      <c r="Y532" s="35">
        <v>7.91</v>
      </c>
      <c r="Z532" s="1" t="s">
        <v>3012</v>
      </c>
      <c r="AA532" s="36">
        <v>51.294299999999993</v>
      </c>
      <c r="AB532" s="54">
        <v>615.31499999999994</v>
      </c>
      <c r="AC532" s="54">
        <v>62.865000000000002</v>
      </c>
      <c r="AD532" s="36">
        <v>1947.4085</v>
      </c>
    </row>
    <row r="533" spans="1:30" s="37" customFormat="1" ht="15.75" customHeight="1" x14ac:dyDescent="0.2">
      <c r="A533" s="26">
        <v>2951</v>
      </c>
      <c r="B533" s="27" t="s">
        <v>1209</v>
      </c>
      <c r="C533" s="27" t="s">
        <v>116</v>
      </c>
      <c r="D533" s="28">
        <v>7.0000000000000007E-2</v>
      </c>
      <c r="E533" s="29">
        <v>42.98</v>
      </c>
      <c r="F533" s="29">
        <v>4.62</v>
      </c>
      <c r="G533" s="30" t="s">
        <v>87</v>
      </c>
      <c r="H533" s="27" t="s">
        <v>94</v>
      </c>
      <c r="I533" s="27" t="s">
        <v>49</v>
      </c>
      <c r="J533" s="27" t="s">
        <v>95</v>
      </c>
      <c r="K533" s="27" t="s">
        <v>73</v>
      </c>
      <c r="L533" s="31" t="s">
        <v>280</v>
      </c>
      <c r="M533" s="32">
        <v>0.56000000000000005</v>
      </c>
      <c r="N533" s="27" t="s">
        <v>33</v>
      </c>
      <c r="O533" s="27" t="s">
        <v>53</v>
      </c>
      <c r="P533" s="27" t="s">
        <v>537</v>
      </c>
      <c r="Q533" s="27" t="s">
        <v>1210</v>
      </c>
      <c r="R533" s="33">
        <v>67601</v>
      </c>
      <c r="S533" s="34">
        <v>42050</v>
      </c>
      <c r="T533" s="34">
        <v>42052</v>
      </c>
      <c r="U533" s="29">
        <v>565.38599999999997</v>
      </c>
      <c r="V533" s="26">
        <v>19</v>
      </c>
      <c r="W533" s="29">
        <v>819.4</v>
      </c>
      <c r="X533" s="26">
        <v>91397</v>
      </c>
      <c r="Y533" s="35">
        <v>417.33</v>
      </c>
      <c r="Z533" s="1" t="s">
        <v>3012</v>
      </c>
      <c r="AA533" s="36">
        <v>57.163399999999996</v>
      </c>
      <c r="AB533" s="54">
        <v>360.53599999999994</v>
      </c>
      <c r="AC533" s="54">
        <v>24.150736842105267</v>
      </c>
      <c r="AD533" s="36">
        <v>192.23059999999998</v>
      </c>
    </row>
    <row r="534" spans="1:30" s="37" customFormat="1" ht="15.75" customHeight="1" x14ac:dyDescent="0.2">
      <c r="A534" s="26">
        <v>2355</v>
      </c>
      <c r="B534" s="27" t="s">
        <v>1212</v>
      </c>
      <c r="C534" s="27" t="s">
        <v>3094</v>
      </c>
      <c r="D534" s="28">
        <v>0.1</v>
      </c>
      <c r="E534" s="29">
        <v>78.69</v>
      </c>
      <c r="F534" s="29">
        <v>19.989999999999998</v>
      </c>
      <c r="G534" s="30" t="s">
        <v>39</v>
      </c>
      <c r="H534" s="27" t="s">
        <v>40</v>
      </c>
      <c r="I534" s="27" t="s">
        <v>29</v>
      </c>
      <c r="J534" s="27" t="s">
        <v>126</v>
      </c>
      <c r="K534" s="27" t="s">
        <v>73</v>
      </c>
      <c r="L534" s="31" t="s">
        <v>1213</v>
      </c>
      <c r="M534" s="32">
        <v>0.43</v>
      </c>
      <c r="N534" s="27" t="s">
        <v>33</v>
      </c>
      <c r="O534" s="27" t="s">
        <v>60</v>
      </c>
      <c r="P534" s="27" t="s">
        <v>90</v>
      </c>
      <c r="Q534" s="27" t="s">
        <v>1214</v>
      </c>
      <c r="R534" s="33">
        <v>92236</v>
      </c>
      <c r="S534" s="34">
        <v>42050</v>
      </c>
      <c r="T534" s="34">
        <v>42051</v>
      </c>
      <c r="U534" s="29">
        <v>465.43950000000001</v>
      </c>
      <c r="V534" s="26">
        <v>9</v>
      </c>
      <c r="W534" s="29">
        <v>674.55</v>
      </c>
      <c r="X534" s="26">
        <v>91304</v>
      </c>
      <c r="Y534" s="35">
        <v>4.9600000000000009</v>
      </c>
      <c r="Z534" s="1" t="s">
        <v>3013</v>
      </c>
      <c r="AA534" s="36">
        <v>70.820999999999998</v>
      </c>
      <c r="AB534" s="54">
        <v>384.49350000000004</v>
      </c>
      <c r="AC534" s="54">
        <v>32.228499999999997</v>
      </c>
      <c r="AD534" s="36">
        <v>118.29949999999997</v>
      </c>
    </row>
    <row r="535" spans="1:30" s="37" customFormat="1" ht="15.75" customHeight="1" x14ac:dyDescent="0.2">
      <c r="A535" s="26">
        <v>3211</v>
      </c>
      <c r="B535" s="27" t="s">
        <v>1199</v>
      </c>
      <c r="C535" s="27" t="s">
        <v>38</v>
      </c>
      <c r="D535" s="28">
        <v>0.1</v>
      </c>
      <c r="E535" s="29">
        <v>20.99</v>
      </c>
      <c r="F535" s="29">
        <v>2.5</v>
      </c>
      <c r="G535" s="30" t="s">
        <v>39</v>
      </c>
      <c r="H535" s="27" t="s">
        <v>94</v>
      </c>
      <c r="I535" s="27" t="s">
        <v>41</v>
      </c>
      <c r="J535" s="27" t="s">
        <v>135</v>
      </c>
      <c r="K535" s="27" t="s">
        <v>51</v>
      </c>
      <c r="L535" s="31" t="s">
        <v>1201</v>
      </c>
      <c r="M535" s="32">
        <v>0.81</v>
      </c>
      <c r="N535" s="27" t="s">
        <v>33</v>
      </c>
      <c r="O535" s="27" t="s">
        <v>53</v>
      </c>
      <c r="P535" s="27" t="s">
        <v>103</v>
      </c>
      <c r="Q535" s="27" t="s">
        <v>1200</v>
      </c>
      <c r="R535" s="33">
        <v>60101</v>
      </c>
      <c r="S535" s="34">
        <v>42050</v>
      </c>
      <c r="T535" s="34">
        <v>42051</v>
      </c>
      <c r="U535" s="29">
        <v>-43.65504</v>
      </c>
      <c r="V535" s="26">
        <v>23</v>
      </c>
      <c r="W535" s="29">
        <v>392.45</v>
      </c>
      <c r="X535" s="26">
        <v>91522</v>
      </c>
      <c r="Y535" s="35">
        <v>20.979999999999997</v>
      </c>
      <c r="Z535" s="1" t="s">
        <v>3012</v>
      </c>
      <c r="AA535" s="36">
        <v>48.276999999999994</v>
      </c>
      <c r="AB535" s="54">
        <v>74.565499999999972</v>
      </c>
      <c r="AC535" s="54">
        <v>13.821065217391306</v>
      </c>
      <c r="AD535" s="36">
        <v>385.32803999999999</v>
      </c>
    </row>
    <row r="536" spans="1:30" s="37" customFormat="1" ht="15.75" customHeight="1" x14ac:dyDescent="0.2">
      <c r="A536" s="26">
        <v>11</v>
      </c>
      <c r="B536" s="27" t="s">
        <v>1189</v>
      </c>
      <c r="C536" s="27" t="s">
        <v>26</v>
      </c>
      <c r="D536" s="28">
        <v>0.06</v>
      </c>
      <c r="E536" s="29">
        <v>9.48</v>
      </c>
      <c r="F536" s="29">
        <v>7.29</v>
      </c>
      <c r="G536" s="30" t="s">
        <v>39</v>
      </c>
      <c r="H536" s="27" t="s">
        <v>71</v>
      </c>
      <c r="I536" s="27" t="s">
        <v>29</v>
      </c>
      <c r="J536" s="27" t="s">
        <v>126</v>
      </c>
      <c r="K536" s="27" t="s">
        <v>43</v>
      </c>
      <c r="L536" s="31" t="s">
        <v>504</v>
      </c>
      <c r="M536" s="32">
        <v>0.45</v>
      </c>
      <c r="N536" s="27" t="s">
        <v>33</v>
      </c>
      <c r="O536" s="27" t="s">
        <v>111</v>
      </c>
      <c r="P536" s="27" t="s">
        <v>397</v>
      </c>
      <c r="Q536" s="27" t="s">
        <v>1190</v>
      </c>
      <c r="R536" s="33">
        <v>7203</v>
      </c>
      <c r="S536" s="34">
        <v>42050</v>
      </c>
      <c r="T536" s="34">
        <v>42052</v>
      </c>
      <c r="U536" s="29">
        <v>-53.809600000000003</v>
      </c>
      <c r="V536" s="26">
        <v>22</v>
      </c>
      <c r="W536" s="29">
        <v>211.15</v>
      </c>
      <c r="X536" s="26">
        <v>90192</v>
      </c>
      <c r="Y536" s="35">
        <v>7.21</v>
      </c>
      <c r="Z536" s="1" t="s">
        <v>3014</v>
      </c>
      <c r="AA536" s="36">
        <v>12.5136</v>
      </c>
      <c r="AB536" s="54">
        <v>116.13250000000001</v>
      </c>
      <c r="AC536" s="54">
        <v>4.3189772727272731</v>
      </c>
      <c r="AD536" s="36">
        <v>245.15600000000001</v>
      </c>
    </row>
    <row r="537" spans="1:30" s="37" customFormat="1" ht="15.75" customHeight="1" x14ac:dyDescent="0.2">
      <c r="A537" s="26">
        <v>651</v>
      </c>
      <c r="B537" s="27" t="s">
        <v>294</v>
      </c>
      <c r="C537" s="27" t="s">
        <v>48</v>
      </c>
      <c r="D537" s="28">
        <v>0.01</v>
      </c>
      <c r="E537" s="29">
        <v>15.99</v>
      </c>
      <c r="F537" s="29">
        <v>11.28</v>
      </c>
      <c r="G537" s="30" t="s">
        <v>39</v>
      </c>
      <c r="H537" s="27" t="s">
        <v>40</v>
      </c>
      <c r="I537" s="27" t="s">
        <v>41</v>
      </c>
      <c r="J537" s="27" t="s">
        <v>57</v>
      </c>
      <c r="K537" s="27" t="s">
        <v>144</v>
      </c>
      <c r="L537" s="31" t="s">
        <v>1206</v>
      </c>
      <c r="M537" s="32">
        <v>0.38</v>
      </c>
      <c r="N537" s="27" t="s">
        <v>33</v>
      </c>
      <c r="O537" s="27" t="s">
        <v>60</v>
      </c>
      <c r="P537" s="27" t="s">
        <v>296</v>
      </c>
      <c r="Q537" s="27" t="s">
        <v>297</v>
      </c>
      <c r="R537" s="33">
        <v>89115</v>
      </c>
      <c r="S537" s="34">
        <v>42050</v>
      </c>
      <c r="T537" s="34">
        <v>42057</v>
      </c>
      <c r="U537" s="29">
        <v>-36.671543999999997</v>
      </c>
      <c r="V537" s="26">
        <v>12</v>
      </c>
      <c r="W537" s="29">
        <v>200.68</v>
      </c>
      <c r="X537" s="26">
        <v>91576</v>
      </c>
      <c r="Y537" s="35">
        <v>20.889999999999997</v>
      </c>
      <c r="Z537" s="1" t="s">
        <v>3013</v>
      </c>
      <c r="AA537" s="36">
        <v>1.9188000000000001</v>
      </c>
      <c r="AB537" s="54">
        <v>124.4216</v>
      </c>
      <c r="AC537" s="54">
        <v>6.3548666666666662</v>
      </c>
      <c r="AD537" s="36">
        <v>224.15274400000001</v>
      </c>
    </row>
    <row r="538" spans="1:30" s="37" customFormat="1" ht="15.75" customHeight="1" x14ac:dyDescent="0.2">
      <c r="A538" s="26">
        <v>2260</v>
      </c>
      <c r="B538" s="27" t="s">
        <v>1196</v>
      </c>
      <c r="C538" s="27" t="s">
        <v>26</v>
      </c>
      <c r="D538" s="28">
        <v>0.01</v>
      </c>
      <c r="E538" s="29">
        <v>20.99</v>
      </c>
      <c r="F538" s="29">
        <v>0.99</v>
      </c>
      <c r="G538" s="30" t="s">
        <v>39</v>
      </c>
      <c r="H538" s="27" t="s">
        <v>94</v>
      </c>
      <c r="I538" s="27" t="s">
        <v>41</v>
      </c>
      <c r="J538" s="27" t="s">
        <v>135</v>
      </c>
      <c r="K538" s="27" t="s">
        <v>43</v>
      </c>
      <c r="L538" s="31" t="s">
        <v>1198</v>
      </c>
      <c r="M538" s="32">
        <v>0.83</v>
      </c>
      <c r="N538" s="27" t="s">
        <v>33</v>
      </c>
      <c r="O538" s="27" t="s">
        <v>34</v>
      </c>
      <c r="P538" s="27" t="s">
        <v>75</v>
      </c>
      <c r="Q538" s="27" t="s">
        <v>1197</v>
      </c>
      <c r="R538" s="33">
        <v>30161</v>
      </c>
      <c r="S538" s="34">
        <v>42050</v>
      </c>
      <c r="T538" s="34">
        <v>42051</v>
      </c>
      <c r="U538" s="29">
        <v>45.378</v>
      </c>
      <c r="V538" s="26">
        <v>9</v>
      </c>
      <c r="W538" s="29">
        <v>170.46</v>
      </c>
      <c r="X538" s="26">
        <v>89601</v>
      </c>
      <c r="Y538" s="35">
        <v>9.64</v>
      </c>
      <c r="Z538" s="1" t="s">
        <v>3011</v>
      </c>
      <c r="AA538" s="36">
        <v>1.8890999999999998</v>
      </c>
      <c r="AB538" s="54">
        <v>28.978200000000008</v>
      </c>
      <c r="AC538" s="54">
        <v>15.7202</v>
      </c>
      <c r="AD538" s="36">
        <v>122.2029</v>
      </c>
    </row>
    <row r="539" spans="1:30" s="37" customFormat="1" ht="15.75" customHeight="1" x14ac:dyDescent="0.2">
      <c r="A539" s="26">
        <v>651</v>
      </c>
      <c r="B539" s="27" t="s">
        <v>294</v>
      </c>
      <c r="C539" s="27" t="s">
        <v>48</v>
      </c>
      <c r="D539" s="28">
        <v>7.0000000000000007E-2</v>
      </c>
      <c r="E539" s="29">
        <v>13.4</v>
      </c>
      <c r="F539" s="29">
        <v>4.95</v>
      </c>
      <c r="G539" s="30" t="s">
        <v>39</v>
      </c>
      <c r="H539" s="27" t="s">
        <v>40</v>
      </c>
      <c r="I539" s="27" t="s">
        <v>29</v>
      </c>
      <c r="J539" s="27" t="s">
        <v>126</v>
      </c>
      <c r="K539" s="27" t="s">
        <v>43</v>
      </c>
      <c r="L539" s="31" t="s">
        <v>1205</v>
      </c>
      <c r="M539" s="32">
        <v>0.37</v>
      </c>
      <c r="N539" s="27" t="s">
        <v>33</v>
      </c>
      <c r="O539" s="27" t="s">
        <v>60</v>
      </c>
      <c r="P539" s="27" t="s">
        <v>296</v>
      </c>
      <c r="Q539" s="27" t="s">
        <v>297</v>
      </c>
      <c r="R539" s="33">
        <v>89115</v>
      </c>
      <c r="S539" s="34">
        <v>42050</v>
      </c>
      <c r="T539" s="34">
        <v>42055</v>
      </c>
      <c r="U539" s="29">
        <v>102.76860000000001</v>
      </c>
      <c r="V539" s="26">
        <v>11</v>
      </c>
      <c r="W539" s="29">
        <v>148.94</v>
      </c>
      <c r="X539" s="26">
        <v>91576</v>
      </c>
      <c r="Y539" s="35">
        <v>880.94</v>
      </c>
      <c r="Z539" s="1" t="s">
        <v>3013</v>
      </c>
      <c r="AA539" s="36">
        <v>10.318000000000001</v>
      </c>
      <c r="AB539" s="54">
        <v>93.8322</v>
      </c>
      <c r="AC539" s="54">
        <v>5.0097999999999994</v>
      </c>
      <c r="AD539" s="36">
        <v>30.903399999999991</v>
      </c>
    </row>
    <row r="540" spans="1:30" s="37" customFormat="1" ht="15.75" customHeight="1" x14ac:dyDescent="0.2">
      <c r="A540" s="26">
        <v>2260</v>
      </c>
      <c r="B540" s="27" t="s">
        <v>1196</v>
      </c>
      <c r="C540" s="27" t="s">
        <v>26</v>
      </c>
      <c r="D540" s="28">
        <v>0.02</v>
      </c>
      <c r="E540" s="29">
        <v>4.9800000000000004</v>
      </c>
      <c r="F540" s="29">
        <v>0.49</v>
      </c>
      <c r="G540" s="30" t="s">
        <v>39</v>
      </c>
      <c r="H540" s="27" t="s">
        <v>94</v>
      </c>
      <c r="I540" s="27" t="s">
        <v>49</v>
      </c>
      <c r="J540" s="27" t="s">
        <v>152</v>
      </c>
      <c r="K540" s="27" t="s">
        <v>73</v>
      </c>
      <c r="L540" s="31" t="s">
        <v>1103</v>
      </c>
      <c r="M540" s="32">
        <v>0.39</v>
      </c>
      <c r="N540" s="27" t="s">
        <v>33</v>
      </c>
      <c r="O540" s="27" t="s">
        <v>34</v>
      </c>
      <c r="P540" s="27" t="s">
        <v>75</v>
      </c>
      <c r="Q540" s="27" t="s">
        <v>1197</v>
      </c>
      <c r="R540" s="33">
        <v>30161</v>
      </c>
      <c r="S540" s="34">
        <v>42050</v>
      </c>
      <c r="T540" s="34">
        <v>42051</v>
      </c>
      <c r="U540" s="29">
        <v>-52.863999999999997</v>
      </c>
      <c r="V540" s="26">
        <v>17</v>
      </c>
      <c r="W540" s="29">
        <v>87.11</v>
      </c>
      <c r="X540" s="26">
        <v>89601</v>
      </c>
      <c r="Y540" s="35">
        <v>13.33</v>
      </c>
      <c r="Z540" s="1" t="s">
        <v>3011</v>
      </c>
      <c r="AA540" s="36">
        <v>1.6932</v>
      </c>
      <c r="AB540" s="54">
        <v>53.137099999999997</v>
      </c>
      <c r="AC540" s="54">
        <v>1.9984058823529411</v>
      </c>
      <c r="AD540" s="36">
        <v>137.79079999999999</v>
      </c>
    </row>
    <row r="541" spans="1:30" s="37" customFormat="1" ht="15.75" customHeight="1" x14ac:dyDescent="0.2">
      <c r="A541" s="26">
        <v>3211</v>
      </c>
      <c r="B541" s="27" t="s">
        <v>1199</v>
      </c>
      <c r="C541" s="27" t="s">
        <v>38</v>
      </c>
      <c r="D541" s="28">
        <v>0.1</v>
      </c>
      <c r="E541" s="29">
        <v>7.31</v>
      </c>
      <c r="F541" s="29">
        <v>0.49</v>
      </c>
      <c r="G541" s="30" t="s">
        <v>39</v>
      </c>
      <c r="H541" s="27" t="s">
        <v>94</v>
      </c>
      <c r="I541" s="27" t="s">
        <v>49</v>
      </c>
      <c r="J541" s="27" t="s">
        <v>152</v>
      </c>
      <c r="K541" s="27" t="s">
        <v>73</v>
      </c>
      <c r="L541" s="31" t="s">
        <v>1127</v>
      </c>
      <c r="M541" s="32">
        <v>0.38</v>
      </c>
      <c r="N541" s="27" t="s">
        <v>33</v>
      </c>
      <c r="O541" s="27" t="s">
        <v>53</v>
      </c>
      <c r="P541" s="27" t="s">
        <v>103</v>
      </c>
      <c r="Q541" s="27" t="s">
        <v>1200</v>
      </c>
      <c r="R541" s="33">
        <v>60101</v>
      </c>
      <c r="S541" s="34">
        <v>42050</v>
      </c>
      <c r="T541" s="34">
        <v>42051</v>
      </c>
      <c r="U541" s="29">
        <v>55.020600000000002</v>
      </c>
      <c r="V541" s="26">
        <v>12</v>
      </c>
      <c r="W541" s="29">
        <v>79.739999999999995</v>
      </c>
      <c r="X541" s="26">
        <v>91522</v>
      </c>
      <c r="Y541" s="35">
        <v>15.98</v>
      </c>
      <c r="Z541" s="1" t="s">
        <v>3012</v>
      </c>
      <c r="AA541" s="36">
        <v>8.7720000000000002</v>
      </c>
      <c r="AB541" s="54">
        <v>49.438799999999993</v>
      </c>
      <c r="AC541" s="54">
        <v>2.5250999999999997</v>
      </c>
      <c r="AD541" s="36">
        <v>15.457399999999993</v>
      </c>
    </row>
    <row r="542" spans="1:30" s="37" customFormat="1" ht="15.75" customHeight="1" x14ac:dyDescent="0.2">
      <c r="A542" s="26">
        <v>596</v>
      </c>
      <c r="B542" s="27" t="s">
        <v>1191</v>
      </c>
      <c r="C542" s="27" t="s">
        <v>26</v>
      </c>
      <c r="D542" s="28">
        <v>7.0000000000000007E-2</v>
      </c>
      <c r="E542" s="29">
        <v>7.98</v>
      </c>
      <c r="F542" s="29">
        <v>1.25</v>
      </c>
      <c r="G542" s="30" t="s">
        <v>39</v>
      </c>
      <c r="H542" s="27" t="s">
        <v>40</v>
      </c>
      <c r="I542" s="27" t="s">
        <v>49</v>
      </c>
      <c r="J542" s="27" t="s">
        <v>88</v>
      </c>
      <c r="K542" s="27" t="s">
        <v>51</v>
      </c>
      <c r="L542" s="31" t="s">
        <v>1194</v>
      </c>
      <c r="M542" s="32">
        <v>0.35</v>
      </c>
      <c r="N542" s="27" t="s">
        <v>33</v>
      </c>
      <c r="O542" s="27" t="s">
        <v>53</v>
      </c>
      <c r="P542" s="27" t="s">
        <v>54</v>
      </c>
      <c r="Q542" s="27" t="s">
        <v>1193</v>
      </c>
      <c r="R542" s="33">
        <v>46032</v>
      </c>
      <c r="S542" s="34">
        <v>42050</v>
      </c>
      <c r="T542" s="34">
        <v>42052</v>
      </c>
      <c r="U542" s="29">
        <v>26.585699999999999</v>
      </c>
      <c r="V542" s="26">
        <v>5</v>
      </c>
      <c r="W542" s="29">
        <v>38.53</v>
      </c>
      <c r="X542" s="26">
        <v>86308</v>
      </c>
      <c r="Y542" s="35">
        <v>8.65</v>
      </c>
      <c r="Z542" s="1" t="s">
        <v>3012</v>
      </c>
      <c r="AA542" s="36">
        <v>2.7930000000000006</v>
      </c>
      <c r="AB542" s="54">
        <v>25.044500000000003</v>
      </c>
      <c r="AC542" s="54">
        <v>2.6970999999999998</v>
      </c>
      <c r="AD542" s="36">
        <v>7.9013000000000027</v>
      </c>
    </row>
    <row r="543" spans="1:30" s="37" customFormat="1" ht="15.75" customHeight="1" x14ac:dyDescent="0.2">
      <c r="A543" s="26">
        <v>393</v>
      </c>
      <c r="B543" s="27" t="s">
        <v>1202</v>
      </c>
      <c r="C543" s="27" t="s">
        <v>48</v>
      </c>
      <c r="D543" s="28">
        <v>7.0000000000000007E-2</v>
      </c>
      <c r="E543" s="29">
        <v>9.7100000000000009</v>
      </c>
      <c r="F543" s="29">
        <v>9.4499999999999993</v>
      </c>
      <c r="G543" s="30" t="s">
        <v>39</v>
      </c>
      <c r="H543" s="27" t="s">
        <v>94</v>
      </c>
      <c r="I543" s="27" t="s">
        <v>49</v>
      </c>
      <c r="J543" s="27" t="s">
        <v>78</v>
      </c>
      <c r="K543" s="27" t="s">
        <v>73</v>
      </c>
      <c r="L543" s="31" t="s">
        <v>1203</v>
      </c>
      <c r="M543" s="32">
        <v>0.6</v>
      </c>
      <c r="N543" s="27" t="s">
        <v>33</v>
      </c>
      <c r="O543" s="27" t="s">
        <v>111</v>
      </c>
      <c r="P543" s="27" t="s">
        <v>112</v>
      </c>
      <c r="Q543" s="27" t="s">
        <v>1204</v>
      </c>
      <c r="R543" s="33">
        <v>13021</v>
      </c>
      <c r="S543" s="34">
        <v>42050</v>
      </c>
      <c r="T543" s="34">
        <v>42057</v>
      </c>
      <c r="U543" s="29">
        <v>-81.77</v>
      </c>
      <c r="V543" s="26">
        <v>3</v>
      </c>
      <c r="W543" s="29">
        <v>31.44</v>
      </c>
      <c r="X543" s="26">
        <v>86382</v>
      </c>
      <c r="Y543" s="35">
        <v>18.88</v>
      </c>
      <c r="Z543" s="1" t="s">
        <v>3014</v>
      </c>
      <c r="AA543" s="36">
        <v>2.0391000000000004</v>
      </c>
      <c r="AB543" s="54">
        <v>12.576000000000001</v>
      </c>
      <c r="AC543" s="54">
        <v>6.2880000000000003</v>
      </c>
      <c r="AD543" s="36">
        <v>101.72089999999999</v>
      </c>
    </row>
    <row r="544" spans="1:30" s="37" customFormat="1" ht="15.75" customHeight="1" x14ac:dyDescent="0.2">
      <c r="A544" s="26">
        <v>596</v>
      </c>
      <c r="B544" s="27" t="s">
        <v>1191</v>
      </c>
      <c r="C544" s="27" t="s">
        <v>26</v>
      </c>
      <c r="D544" s="28">
        <v>0.03</v>
      </c>
      <c r="E544" s="29">
        <v>3.8</v>
      </c>
      <c r="F544" s="29">
        <v>1.49</v>
      </c>
      <c r="G544" s="30" t="s">
        <v>39</v>
      </c>
      <c r="H544" s="27" t="s">
        <v>40</v>
      </c>
      <c r="I544" s="27" t="s">
        <v>49</v>
      </c>
      <c r="J544" s="27" t="s">
        <v>72</v>
      </c>
      <c r="K544" s="27" t="s">
        <v>73</v>
      </c>
      <c r="L544" s="31" t="s">
        <v>1192</v>
      </c>
      <c r="M544" s="32">
        <v>0.38</v>
      </c>
      <c r="N544" s="27" t="s">
        <v>33</v>
      </c>
      <c r="O544" s="27" t="s">
        <v>53</v>
      </c>
      <c r="P544" s="27" t="s">
        <v>54</v>
      </c>
      <c r="Q544" s="27" t="s">
        <v>1193</v>
      </c>
      <c r="R544" s="33">
        <v>46032</v>
      </c>
      <c r="S544" s="34">
        <v>42050</v>
      </c>
      <c r="T544" s="34">
        <v>42052</v>
      </c>
      <c r="U544" s="29">
        <v>15.2745</v>
      </c>
      <c r="V544" s="26">
        <v>6</v>
      </c>
      <c r="W544" s="29">
        <v>24.27</v>
      </c>
      <c r="X544" s="26">
        <v>86308</v>
      </c>
      <c r="Y544" s="35">
        <v>42.91</v>
      </c>
      <c r="Z544" s="1" t="s">
        <v>3012</v>
      </c>
      <c r="AA544" s="36">
        <v>0.68399999999999994</v>
      </c>
      <c r="AB544" s="54">
        <v>15.0474</v>
      </c>
      <c r="AC544" s="54">
        <v>1.5370999999999999</v>
      </c>
      <c r="AD544" s="36">
        <v>6.8215000000000003</v>
      </c>
    </row>
    <row r="545" spans="1:30" s="37" customFormat="1" ht="15.75" customHeight="1" x14ac:dyDescent="0.2">
      <c r="A545" s="26">
        <v>2684</v>
      </c>
      <c r="B545" s="27" t="s">
        <v>1207</v>
      </c>
      <c r="C545" s="27" t="s">
        <v>48</v>
      </c>
      <c r="D545" s="28">
        <v>0.09</v>
      </c>
      <c r="E545" s="29">
        <v>18.97</v>
      </c>
      <c r="F545" s="29">
        <v>9.0299999999999994</v>
      </c>
      <c r="G545" s="30" t="s">
        <v>39</v>
      </c>
      <c r="H545" s="27" t="s">
        <v>3095</v>
      </c>
      <c r="I545" s="27" t="s">
        <v>49</v>
      </c>
      <c r="J545" s="27" t="s">
        <v>88</v>
      </c>
      <c r="K545" s="27" t="s">
        <v>73</v>
      </c>
      <c r="L545" s="31" t="s">
        <v>630</v>
      </c>
      <c r="M545" s="32">
        <v>0.37</v>
      </c>
      <c r="N545" s="27" t="s">
        <v>33</v>
      </c>
      <c r="O545" s="27" t="s">
        <v>34</v>
      </c>
      <c r="P545" s="27" t="s">
        <v>123</v>
      </c>
      <c r="Q545" s="27" t="s">
        <v>1208</v>
      </c>
      <c r="R545" s="33">
        <v>33952</v>
      </c>
      <c r="S545" s="34">
        <v>42050</v>
      </c>
      <c r="T545" s="34">
        <v>42055</v>
      </c>
      <c r="U545" s="29">
        <v>-1748.0119999999999</v>
      </c>
      <c r="V545" s="26">
        <v>1</v>
      </c>
      <c r="W545" s="29">
        <v>20.96</v>
      </c>
      <c r="X545" s="26">
        <v>89146</v>
      </c>
      <c r="Y545" s="35">
        <v>89.96</v>
      </c>
      <c r="Z545" s="1" t="s">
        <v>3011</v>
      </c>
      <c r="AA545" s="36">
        <v>1.7072999999999998</v>
      </c>
      <c r="AB545" s="54">
        <v>13.204800000000001</v>
      </c>
      <c r="AC545" s="54">
        <v>7.7552000000000003</v>
      </c>
      <c r="AD545" s="36">
        <v>1758.2347</v>
      </c>
    </row>
    <row r="546" spans="1:30" s="37" customFormat="1" ht="15.75" customHeight="1" x14ac:dyDescent="0.2">
      <c r="A546" s="26">
        <v>2684</v>
      </c>
      <c r="B546" s="27" t="s">
        <v>1207</v>
      </c>
      <c r="C546" s="27" t="s">
        <v>48</v>
      </c>
      <c r="D546" s="28">
        <v>0.09</v>
      </c>
      <c r="E546" s="29">
        <v>8.74</v>
      </c>
      <c r="F546" s="29">
        <v>1.39</v>
      </c>
      <c r="G546" s="30" t="s">
        <v>87</v>
      </c>
      <c r="H546" s="27" t="s">
        <v>3095</v>
      </c>
      <c r="I546" s="27" t="s">
        <v>49</v>
      </c>
      <c r="J546" s="27" t="s">
        <v>345</v>
      </c>
      <c r="K546" s="27" t="s">
        <v>73</v>
      </c>
      <c r="L546" s="31" t="s">
        <v>440</v>
      </c>
      <c r="M546" s="32">
        <v>0.38</v>
      </c>
      <c r="N546" s="27" t="s">
        <v>33</v>
      </c>
      <c r="O546" s="27" t="s">
        <v>34</v>
      </c>
      <c r="P546" s="27" t="s">
        <v>123</v>
      </c>
      <c r="Q546" s="27" t="s">
        <v>1208</v>
      </c>
      <c r="R546" s="33">
        <v>33952</v>
      </c>
      <c r="S546" s="34">
        <v>42050</v>
      </c>
      <c r="T546" s="34">
        <v>42055</v>
      </c>
      <c r="U546" s="29">
        <v>23.616</v>
      </c>
      <c r="V546" s="26">
        <v>1</v>
      </c>
      <c r="W546" s="29">
        <v>11.78</v>
      </c>
      <c r="X546" s="26">
        <v>89146</v>
      </c>
      <c r="Y546" s="35">
        <v>78.59</v>
      </c>
      <c r="Z546" s="1" t="s">
        <v>3011</v>
      </c>
      <c r="AA546" s="36">
        <v>0.78659999999999997</v>
      </c>
      <c r="AB546" s="54">
        <v>7.3035999999999994</v>
      </c>
      <c r="AC546" s="54">
        <v>4.4763999999999999</v>
      </c>
      <c r="AD546" s="36">
        <v>-14.012600000000001</v>
      </c>
    </row>
    <row r="547" spans="1:30" s="37" customFormat="1" ht="15.75" customHeight="1" x14ac:dyDescent="0.2">
      <c r="A547" s="26">
        <v>1129</v>
      </c>
      <c r="B547" s="27" t="s">
        <v>786</v>
      </c>
      <c r="C547" s="27" t="s">
        <v>48</v>
      </c>
      <c r="D547" s="28">
        <v>7.0000000000000007E-2</v>
      </c>
      <c r="E547" s="29">
        <v>699.99</v>
      </c>
      <c r="F547" s="29">
        <v>24.49</v>
      </c>
      <c r="G547" s="30" t="s">
        <v>39</v>
      </c>
      <c r="H547" s="27" t="s">
        <v>71</v>
      </c>
      <c r="I547" s="27" t="s">
        <v>41</v>
      </c>
      <c r="J547" s="27" t="s">
        <v>64</v>
      </c>
      <c r="K547" s="27" t="s">
        <v>65</v>
      </c>
      <c r="L547" s="31" t="s">
        <v>1215</v>
      </c>
      <c r="M547" s="32">
        <v>0.54</v>
      </c>
      <c r="N547" s="27" t="s">
        <v>33</v>
      </c>
      <c r="O547" s="27" t="s">
        <v>111</v>
      </c>
      <c r="P547" s="27" t="s">
        <v>403</v>
      </c>
      <c r="Q547" s="27" t="s">
        <v>788</v>
      </c>
      <c r="R547" s="33">
        <v>2118</v>
      </c>
      <c r="S547" s="34">
        <v>42051</v>
      </c>
      <c r="T547" s="34">
        <v>42055</v>
      </c>
      <c r="U547" s="29">
        <v>325.29000000000002</v>
      </c>
      <c r="V547" s="26">
        <v>15</v>
      </c>
      <c r="W547" s="29">
        <v>9862.51</v>
      </c>
      <c r="X547" s="26">
        <v>32037</v>
      </c>
      <c r="Y547" s="35">
        <v>8.56</v>
      </c>
      <c r="Z547" s="1" t="s">
        <v>3014</v>
      </c>
      <c r="AA547" s="36">
        <v>734.98950000000013</v>
      </c>
      <c r="AB547" s="54">
        <v>4536.7545999999993</v>
      </c>
      <c r="AC547" s="54">
        <v>355.05036000000001</v>
      </c>
      <c r="AD547" s="36">
        <v>8777.7404999999999</v>
      </c>
    </row>
    <row r="548" spans="1:30" s="37" customFormat="1" ht="15.75" customHeight="1" x14ac:dyDescent="0.2">
      <c r="A548" s="26">
        <v>1132</v>
      </c>
      <c r="B548" s="27" t="s">
        <v>1093</v>
      </c>
      <c r="C548" s="27" t="s">
        <v>48</v>
      </c>
      <c r="D548" s="28">
        <v>7.0000000000000007E-2</v>
      </c>
      <c r="E548" s="29">
        <v>699.99</v>
      </c>
      <c r="F548" s="29">
        <v>24.49</v>
      </c>
      <c r="G548" s="30" t="s">
        <v>39</v>
      </c>
      <c r="H548" s="27" t="s">
        <v>71</v>
      </c>
      <c r="I548" s="27" t="s">
        <v>41</v>
      </c>
      <c r="J548" s="27" t="s">
        <v>64</v>
      </c>
      <c r="K548" s="27" t="s">
        <v>65</v>
      </c>
      <c r="L548" s="31" t="s">
        <v>1215</v>
      </c>
      <c r="M548" s="32">
        <v>0.54</v>
      </c>
      <c r="N548" s="27" t="s">
        <v>33</v>
      </c>
      <c r="O548" s="27" t="s">
        <v>53</v>
      </c>
      <c r="P548" s="27" t="s">
        <v>187</v>
      </c>
      <c r="Q548" s="27" t="s">
        <v>1094</v>
      </c>
      <c r="R548" s="33">
        <v>76039</v>
      </c>
      <c r="S548" s="34">
        <v>42051</v>
      </c>
      <c r="T548" s="34">
        <v>42055</v>
      </c>
      <c r="U548" s="29">
        <v>325.29000000000002</v>
      </c>
      <c r="V548" s="26">
        <v>4</v>
      </c>
      <c r="W548" s="29">
        <v>2630</v>
      </c>
      <c r="X548" s="26">
        <v>88102</v>
      </c>
      <c r="Y548" s="35">
        <v>699.92</v>
      </c>
      <c r="Z548" s="1" t="s">
        <v>3012</v>
      </c>
      <c r="AA548" s="36">
        <v>195.99720000000002</v>
      </c>
      <c r="AB548" s="54">
        <v>1209.8</v>
      </c>
      <c r="AC548" s="54">
        <v>355.05</v>
      </c>
      <c r="AD548" s="36">
        <v>2084.2228</v>
      </c>
    </row>
    <row r="549" spans="1:30" s="37" customFormat="1" ht="15.75" customHeight="1" x14ac:dyDescent="0.2">
      <c r="A549" s="26">
        <v>1625</v>
      </c>
      <c r="B549" s="27" t="s">
        <v>1223</v>
      </c>
      <c r="C549" s="27" t="s">
        <v>116</v>
      </c>
      <c r="D549" s="28">
        <v>0</v>
      </c>
      <c r="E549" s="29">
        <v>209.37</v>
      </c>
      <c r="F549" s="29">
        <v>69</v>
      </c>
      <c r="G549" s="30" t="s">
        <v>39</v>
      </c>
      <c r="H549" s="27" t="s">
        <v>71</v>
      </c>
      <c r="I549" s="27" t="s">
        <v>29</v>
      </c>
      <c r="J549" s="27" t="s">
        <v>30</v>
      </c>
      <c r="K549" s="27" t="s">
        <v>65</v>
      </c>
      <c r="L549" s="31" t="s">
        <v>1224</v>
      </c>
      <c r="M549" s="32">
        <v>0.79</v>
      </c>
      <c r="N549" s="27" t="s">
        <v>33</v>
      </c>
      <c r="O549" s="27" t="s">
        <v>111</v>
      </c>
      <c r="P549" s="27" t="s">
        <v>112</v>
      </c>
      <c r="Q549" s="27" t="s">
        <v>1225</v>
      </c>
      <c r="R549" s="33">
        <v>11542</v>
      </c>
      <c r="S549" s="34">
        <v>42051</v>
      </c>
      <c r="T549" s="34">
        <v>42053</v>
      </c>
      <c r="U549" s="29">
        <v>-263.11192907999998</v>
      </c>
      <c r="V549" s="26">
        <v>11</v>
      </c>
      <c r="W549" s="29">
        <v>1959.88</v>
      </c>
      <c r="X549" s="26">
        <v>90601</v>
      </c>
      <c r="Y549" s="35">
        <v>8.56</v>
      </c>
      <c r="Z549" s="1" t="s">
        <v>3014</v>
      </c>
      <c r="AA549" s="36">
        <v>0</v>
      </c>
      <c r="AB549" s="54">
        <v>411.57479999999993</v>
      </c>
      <c r="AC549" s="54">
        <v>140.7550181818182</v>
      </c>
      <c r="AD549" s="36">
        <v>2153.9919290799999</v>
      </c>
    </row>
    <row r="550" spans="1:30" s="37" customFormat="1" ht="15.75" customHeight="1" x14ac:dyDescent="0.2">
      <c r="A550" s="26">
        <v>3151</v>
      </c>
      <c r="B550" s="27" t="s">
        <v>953</v>
      </c>
      <c r="C550" s="27" t="s">
        <v>3094</v>
      </c>
      <c r="D550" s="28">
        <v>0.05</v>
      </c>
      <c r="E550" s="29">
        <v>25.99</v>
      </c>
      <c r="F550" s="29">
        <v>5.37</v>
      </c>
      <c r="G550" s="30" t="s">
        <v>87</v>
      </c>
      <c r="H550" s="27" t="s">
        <v>94</v>
      </c>
      <c r="I550" s="27" t="s">
        <v>49</v>
      </c>
      <c r="J550" s="27" t="s">
        <v>50</v>
      </c>
      <c r="K550" s="27" t="s">
        <v>73</v>
      </c>
      <c r="L550" s="31" t="s">
        <v>1226</v>
      </c>
      <c r="M550" s="32">
        <v>0.56000000000000005</v>
      </c>
      <c r="N550" s="27" t="s">
        <v>33</v>
      </c>
      <c r="O550" s="27" t="s">
        <v>60</v>
      </c>
      <c r="P550" s="27" t="s">
        <v>90</v>
      </c>
      <c r="Q550" s="27" t="s">
        <v>954</v>
      </c>
      <c r="R550" s="33">
        <v>92277</v>
      </c>
      <c r="S550" s="34">
        <v>42051</v>
      </c>
      <c r="T550" s="34">
        <v>42053</v>
      </c>
      <c r="U550" s="29">
        <v>220.35720000000001</v>
      </c>
      <c r="V550" s="26">
        <v>18</v>
      </c>
      <c r="W550" s="29">
        <v>451.35</v>
      </c>
      <c r="X550" s="26">
        <v>88545</v>
      </c>
      <c r="Y550" s="35">
        <v>699.92</v>
      </c>
      <c r="Z550" s="1" t="s">
        <v>3013</v>
      </c>
      <c r="AA550" s="36">
        <v>23.391000000000002</v>
      </c>
      <c r="AB550" s="54">
        <v>198.59399999999999</v>
      </c>
      <c r="AC550" s="54">
        <v>14.042000000000003</v>
      </c>
      <c r="AD550" s="36">
        <v>202.23180000000002</v>
      </c>
    </row>
    <row r="551" spans="1:30" s="37" customFormat="1" ht="15.75" customHeight="1" x14ac:dyDescent="0.2">
      <c r="A551" s="26">
        <v>1129</v>
      </c>
      <c r="B551" s="27" t="s">
        <v>786</v>
      </c>
      <c r="C551" s="27" t="s">
        <v>48</v>
      </c>
      <c r="D551" s="28">
        <v>0.04</v>
      </c>
      <c r="E551" s="29">
        <v>8.6</v>
      </c>
      <c r="F551" s="29">
        <v>6.19</v>
      </c>
      <c r="G551" s="30" t="s">
        <v>39</v>
      </c>
      <c r="H551" s="27" t="s">
        <v>71</v>
      </c>
      <c r="I551" s="27" t="s">
        <v>49</v>
      </c>
      <c r="J551" s="27" t="s">
        <v>72</v>
      </c>
      <c r="K551" s="27" t="s">
        <v>73</v>
      </c>
      <c r="L551" s="31" t="s">
        <v>532</v>
      </c>
      <c r="M551" s="32">
        <v>0.38</v>
      </c>
      <c r="N551" s="27" t="s">
        <v>33</v>
      </c>
      <c r="O551" s="27" t="s">
        <v>111</v>
      </c>
      <c r="P551" s="27" t="s">
        <v>403</v>
      </c>
      <c r="Q551" s="27" t="s">
        <v>788</v>
      </c>
      <c r="R551" s="33">
        <v>2118</v>
      </c>
      <c r="S551" s="34">
        <v>42051</v>
      </c>
      <c r="T551" s="34">
        <v>42058</v>
      </c>
      <c r="U551" s="29">
        <v>-63.813499999999998</v>
      </c>
      <c r="V551" s="26">
        <v>37</v>
      </c>
      <c r="W551" s="29">
        <v>311.66000000000003</v>
      </c>
      <c r="X551" s="26">
        <v>32037</v>
      </c>
      <c r="Y551" s="35">
        <v>11.48</v>
      </c>
      <c r="Z551" s="1" t="s">
        <v>3014</v>
      </c>
      <c r="AA551" s="36">
        <v>12.728</v>
      </c>
      <c r="AB551" s="54">
        <v>193.22920000000002</v>
      </c>
      <c r="AC551" s="54">
        <v>3.2008324324324327</v>
      </c>
      <c r="AD551" s="36">
        <v>356.55550000000005</v>
      </c>
    </row>
    <row r="552" spans="1:30" s="37" customFormat="1" ht="15.75" customHeight="1" x14ac:dyDescent="0.2">
      <c r="A552" s="26">
        <v>1228</v>
      </c>
      <c r="B552" s="27" t="s">
        <v>1220</v>
      </c>
      <c r="C552" s="27" t="s">
        <v>116</v>
      </c>
      <c r="D552" s="28">
        <v>0.01</v>
      </c>
      <c r="E552" s="29">
        <v>4.9800000000000004</v>
      </c>
      <c r="F552" s="29">
        <v>4.62</v>
      </c>
      <c r="G552" s="30" t="s">
        <v>87</v>
      </c>
      <c r="H552" s="27" t="s">
        <v>3095</v>
      </c>
      <c r="I552" s="27" t="s">
        <v>41</v>
      </c>
      <c r="J552" s="27" t="s">
        <v>42</v>
      </c>
      <c r="K552" s="27" t="s">
        <v>43</v>
      </c>
      <c r="L552" s="31" t="s">
        <v>1221</v>
      </c>
      <c r="M552" s="32">
        <v>0.64</v>
      </c>
      <c r="N552" s="27" t="s">
        <v>33</v>
      </c>
      <c r="O552" s="27" t="s">
        <v>111</v>
      </c>
      <c r="P552" s="27" t="s">
        <v>320</v>
      </c>
      <c r="Q552" s="27" t="s">
        <v>321</v>
      </c>
      <c r="R552" s="33">
        <v>19140</v>
      </c>
      <c r="S552" s="34">
        <v>42051</v>
      </c>
      <c r="T552" s="34">
        <v>42053</v>
      </c>
      <c r="U552" s="29">
        <v>-111.72</v>
      </c>
      <c r="V552" s="26">
        <v>41</v>
      </c>
      <c r="W552" s="29">
        <v>228.3</v>
      </c>
      <c r="X552" s="26">
        <v>55874</v>
      </c>
      <c r="Y552" s="35">
        <v>160.95999999999998</v>
      </c>
      <c r="Z552" s="1" t="s">
        <v>3014</v>
      </c>
      <c r="AA552" s="36">
        <v>2.0418000000000003</v>
      </c>
      <c r="AB552" s="54">
        <v>82.188000000000002</v>
      </c>
      <c r="AC552" s="54">
        <v>3.5637073170731708</v>
      </c>
      <c r="AD552" s="36">
        <v>333.35820000000001</v>
      </c>
    </row>
    <row r="553" spans="1:30" s="37" customFormat="1" ht="15.75" customHeight="1" x14ac:dyDescent="0.2">
      <c r="A553" s="26">
        <v>1228</v>
      </c>
      <c r="B553" s="27" t="s">
        <v>1220</v>
      </c>
      <c r="C553" s="27" t="s">
        <v>116</v>
      </c>
      <c r="D553" s="28">
        <v>0</v>
      </c>
      <c r="E553" s="29">
        <v>7.1</v>
      </c>
      <c r="F553" s="29">
        <v>6.05</v>
      </c>
      <c r="G553" s="30" t="s">
        <v>39</v>
      </c>
      <c r="H553" s="27" t="s">
        <v>3095</v>
      </c>
      <c r="I553" s="27" t="s">
        <v>49</v>
      </c>
      <c r="J553" s="27" t="s">
        <v>72</v>
      </c>
      <c r="K553" s="27" t="s">
        <v>73</v>
      </c>
      <c r="L553" s="31" t="s">
        <v>251</v>
      </c>
      <c r="M553" s="32">
        <v>0.39</v>
      </c>
      <c r="N553" s="27" t="s">
        <v>33</v>
      </c>
      <c r="O553" s="27" t="s">
        <v>111</v>
      </c>
      <c r="P553" s="27" t="s">
        <v>320</v>
      </c>
      <c r="Q553" s="27" t="s">
        <v>321</v>
      </c>
      <c r="R553" s="33">
        <v>19140</v>
      </c>
      <c r="S553" s="34">
        <v>42051</v>
      </c>
      <c r="T553" s="34">
        <v>42052</v>
      </c>
      <c r="U553" s="29">
        <v>-60.145000000000003</v>
      </c>
      <c r="V553" s="26">
        <v>28</v>
      </c>
      <c r="W553" s="29">
        <v>208.83</v>
      </c>
      <c r="X553" s="26">
        <v>55874</v>
      </c>
      <c r="Y553" s="35">
        <v>7.1</v>
      </c>
      <c r="Z553" s="1" t="s">
        <v>3014</v>
      </c>
      <c r="AA553" s="36">
        <v>0</v>
      </c>
      <c r="AB553" s="54">
        <v>127.38630000000001</v>
      </c>
      <c r="AC553" s="54">
        <v>2.9087035714285716</v>
      </c>
      <c r="AD553" s="36">
        <v>262.92500000000001</v>
      </c>
    </row>
    <row r="554" spans="1:30" s="37" customFormat="1" ht="15.75" customHeight="1" x14ac:dyDescent="0.2">
      <c r="A554" s="26">
        <v>1138</v>
      </c>
      <c r="B554" s="27" t="s">
        <v>1218</v>
      </c>
      <c r="C554" s="27" t="s">
        <v>116</v>
      </c>
      <c r="D554" s="28">
        <v>0.02</v>
      </c>
      <c r="E554" s="29">
        <v>160.97999999999999</v>
      </c>
      <c r="F554" s="29">
        <v>30</v>
      </c>
      <c r="G554" s="30" t="s">
        <v>27</v>
      </c>
      <c r="H554" s="27" t="s">
        <v>71</v>
      </c>
      <c r="I554" s="27" t="s">
        <v>29</v>
      </c>
      <c r="J554" s="27" t="s">
        <v>109</v>
      </c>
      <c r="K554" s="27" t="s">
        <v>58</v>
      </c>
      <c r="L554" s="31" t="s">
        <v>892</v>
      </c>
      <c r="M554" s="32">
        <v>0.62</v>
      </c>
      <c r="N554" s="27" t="s">
        <v>33</v>
      </c>
      <c r="O554" s="27" t="s">
        <v>53</v>
      </c>
      <c r="P554" s="27" t="s">
        <v>187</v>
      </c>
      <c r="Q554" s="27" t="s">
        <v>1219</v>
      </c>
      <c r="R554" s="33">
        <v>75056</v>
      </c>
      <c r="S554" s="34">
        <v>42051</v>
      </c>
      <c r="T554" s="34">
        <v>42054</v>
      </c>
      <c r="U554" s="29">
        <v>-51.116</v>
      </c>
      <c r="V554" s="26">
        <v>1</v>
      </c>
      <c r="W554" s="29">
        <v>192.49</v>
      </c>
      <c r="X554" s="26">
        <v>86574</v>
      </c>
      <c r="Y554" s="35">
        <v>4.9700000000000006</v>
      </c>
      <c r="Z554" s="1" t="s">
        <v>3012</v>
      </c>
      <c r="AA554" s="36">
        <v>3.2195999999999998</v>
      </c>
      <c r="AB554" s="54">
        <v>73.146200000000007</v>
      </c>
      <c r="AC554" s="54">
        <v>119.3438</v>
      </c>
      <c r="AD554" s="36">
        <v>210.38640000000001</v>
      </c>
    </row>
    <row r="555" spans="1:30" s="37" customFormat="1" ht="15.75" customHeight="1" x14ac:dyDescent="0.2">
      <c r="A555" s="26">
        <v>1228</v>
      </c>
      <c r="B555" s="27" t="s">
        <v>1220</v>
      </c>
      <c r="C555" s="27" t="s">
        <v>116</v>
      </c>
      <c r="D555" s="28">
        <v>0.06</v>
      </c>
      <c r="E555" s="29">
        <v>5.68</v>
      </c>
      <c r="F555" s="29">
        <v>1.39</v>
      </c>
      <c r="G555" s="30" t="s">
        <v>39</v>
      </c>
      <c r="H555" s="27" t="s">
        <v>3095</v>
      </c>
      <c r="I555" s="27" t="s">
        <v>49</v>
      </c>
      <c r="J555" s="27" t="s">
        <v>345</v>
      </c>
      <c r="K555" s="27" t="s">
        <v>73</v>
      </c>
      <c r="L555" s="31" t="s">
        <v>598</v>
      </c>
      <c r="M555" s="32">
        <v>0.38</v>
      </c>
      <c r="N555" s="27" t="s">
        <v>33</v>
      </c>
      <c r="O555" s="27" t="s">
        <v>111</v>
      </c>
      <c r="P555" s="27" t="s">
        <v>320</v>
      </c>
      <c r="Q555" s="27" t="s">
        <v>321</v>
      </c>
      <c r="R555" s="33">
        <v>19140</v>
      </c>
      <c r="S555" s="34">
        <v>42051</v>
      </c>
      <c r="T555" s="34">
        <v>42051</v>
      </c>
      <c r="U555" s="29">
        <v>33.01</v>
      </c>
      <c r="V555" s="26">
        <v>24</v>
      </c>
      <c r="W555" s="29">
        <v>129.53</v>
      </c>
      <c r="X555" s="26">
        <v>55874</v>
      </c>
      <c r="Y555" s="35">
        <v>5.62</v>
      </c>
      <c r="Z555" s="1" t="s">
        <v>3014</v>
      </c>
      <c r="AA555" s="36">
        <v>8.1791999999999998</v>
      </c>
      <c r="AB555" s="54">
        <v>80.308599999999998</v>
      </c>
      <c r="AC555" s="54">
        <v>2.0508916666666668</v>
      </c>
      <c r="AD555" s="36">
        <v>86.950800000000001</v>
      </c>
    </row>
    <row r="556" spans="1:30" s="37" customFormat="1" ht="15.75" customHeight="1" x14ac:dyDescent="0.2">
      <c r="A556" s="26">
        <v>1132</v>
      </c>
      <c r="B556" s="27" t="s">
        <v>1093</v>
      </c>
      <c r="C556" s="27" t="s">
        <v>48</v>
      </c>
      <c r="D556" s="28">
        <v>0.04</v>
      </c>
      <c r="E556" s="29">
        <v>8.6</v>
      </c>
      <c r="F556" s="29">
        <v>6.19</v>
      </c>
      <c r="G556" s="30" t="s">
        <v>39</v>
      </c>
      <c r="H556" s="27" t="s">
        <v>71</v>
      </c>
      <c r="I556" s="27" t="s">
        <v>49</v>
      </c>
      <c r="J556" s="27" t="s">
        <v>72</v>
      </c>
      <c r="K556" s="27" t="s">
        <v>73</v>
      </c>
      <c r="L556" s="31" t="s">
        <v>532</v>
      </c>
      <c r="M556" s="32">
        <v>0.38</v>
      </c>
      <c r="N556" s="27" t="s">
        <v>33</v>
      </c>
      <c r="O556" s="27" t="s">
        <v>53</v>
      </c>
      <c r="P556" s="27" t="s">
        <v>187</v>
      </c>
      <c r="Q556" s="27" t="s">
        <v>1094</v>
      </c>
      <c r="R556" s="33">
        <v>76039</v>
      </c>
      <c r="S556" s="34">
        <v>42051</v>
      </c>
      <c r="T556" s="34">
        <v>42058</v>
      </c>
      <c r="U556" s="29">
        <v>-63.813499999999998</v>
      </c>
      <c r="V556" s="26">
        <v>9</v>
      </c>
      <c r="W556" s="29">
        <v>75.81</v>
      </c>
      <c r="X556" s="26">
        <v>88102</v>
      </c>
      <c r="Y556" s="35">
        <v>4.9700000000000006</v>
      </c>
      <c r="Z556" s="1" t="s">
        <v>3012</v>
      </c>
      <c r="AA556" s="36">
        <v>3.0959999999999996</v>
      </c>
      <c r="AB556" s="54">
        <v>47.002200000000002</v>
      </c>
      <c r="AC556" s="54">
        <v>3.2008666666666667</v>
      </c>
      <c r="AD556" s="36">
        <v>130.33750000000001</v>
      </c>
    </row>
    <row r="557" spans="1:30" s="37" customFormat="1" ht="15.75" customHeight="1" x14ac:dyDescent="0.2">
      <c r="A557" s="26">
        <v>1229</v>
      </c>
      <c r="B557" s="27" t="s">
        <v>1222</v>
      </c>
      <c r="C557" s="27" t="s">
        <v>116</v>
      </c>
      <c r="D557" s="28">
        <v>0.01</v>
      </c>
      <c r="E557" s="29">
        <v>4.9800000000000004</v>
      </c>
      <c r="F557" s="29">
        <v>4.62</v>
      </c>
      <c r="G557" s="30" t="s">
        <v>87</v>
      </c>
      <c r="H557" s="27" t="s">
        <v>3095</v>
      </c>
      <c r="I557" s="27" t="s">
        <v>41</v>
      </c>
      <c r="J557" s="27" t="s">
        <v>42</v>
      </c>
      <c r="K557" s="27" t="s">
        <v>43</v>
      </c>
      <c r="L557" s="31" t="s">
        <v>1221</v>
      </c>
      <c r="M557" s="32">
        <v>0.64</v>
      </c>
      <c r="N557" s="27" t="s">
        <v>33</v>
      </c>
      <c r="O557" s="27" t="s">
        <v>53</v>
      </c>
      <c r="P557" s="27" t="s">
        <v>187</v>
      </c>
      <c r="Q557" s="27" t="s">
        <v>1140</v>
      </c>
      <c r="R557" s="33">
        <v>75482</v>
      </c>
      <c r="S557" s="34">
        <v>42051</v>
      </c>
      <c r="T557" s="34">
        <v>42053</v>
      </c>
      <c r="U557" s="29">
        <v>-111.72</v>
      </c>
      <c r="V557" s="26">
        <v>10</v>
      </c>
      <c r="W557" s="29">
        <v>55.68</v>
      </c>
      <c r="X557" s="26">
        <v>90378</v>
      </c>
      <c r="Y557" s="35">
        <v>209.37</v>
      </c>
      <c r="Z557" s="1" t="s">
        <v>3012</v>
      </c>
      <c r="AA557" s="36">
        <v>0.49800000000000005</v>
      </c>
      <c r="AB557" s="54">
        <v>20.044799999999999</v>
      </c>
      <c r="AC557" s="54">
        <v>3.56352</v>
      </c>
      <c r="AD557" s="36">
        <v>162.28199999999998</v>
      </c>
    </row>
    <row r="558" spans="1:30" s="37" customFormat="1" ht="15.75" customHeight="1" x14ac:dyDescent="0.2">
      <c r="A558" s="26">
        <v>1580</v>
      </c>
      <c r="B558" s="27" t="s">
        <v>1216</v>
      </c>
      <c r="C558" s="27" t="s">
        <v>48</v>
      </c>
      <c r="D558" s="28">
        <v>0.1</v>
      </c>
      <c r="E558" s="29">
        <v>11.58</v>
      </c>
      <c r="F558" s="29">
        <v>6.97</v>
      </c>
      <c r="G558" s="30" t="s">
        <v>39</v>
      </c>
      <c r="H558" s="27" t="s">
        <v>94</v>
      </c>
      <c r="I558" s="27" t="s">
        <v>49</v>
      </c>
      <c r="J558" s="27" t="s">
        <v>345</v>
      </c>
      <c r="K558" s="27" t="s">
        <v>73</v>
      </c>
      <c r="L558" s="31" t="s">
        <v>624</v>
      </c>
      <c r="M558" s="32">
        <v>0.35</v>
      </c>
      <c r="N558" s="27" t="s">
        <v>33</v>
      </c>
      <c r="O558" s="27" t="s">
        <v>111</v>
      </c>
      <c r="P558" s="27" t="s">
        <v>331</v>
      </c>
      <c r="Q558" s="27" t="s">
        <v>1217</v>
      </c>
      <c r="R558" s="33">
        <v>4901</v>
      </c>
      <c r="S558" s="34">
        <v>42051</v>
      </c>
      <c r="T558" s="34">
        <v>42055</v>
      </c>
      <c r="U558" s="29">
        <v>-8.3979999999999997</v>
      </c>
      <c r="V558" s="26">
        <v>1</v>
      </c>
      <c r="W558" s="29">
        <v>14.53</v>
      </c>
      <c r="X558" s="26">
        <v>90934</v>
      </c>
      <c r="Y558" s="35">
        <v>25.939999999999998</v>
      </c>
      <c r="Z558" s="1" t="s">
        <v>3014</v>
      </c>
      <c r="AA558" s="36">
        <v>1.1580000000000001</v>
      </c>
      <c r="AB558" s="54">
        <v>9.4444999999999997</v>
      </c>
      <c r="AC558" s="54">
        <v>5.0854999999999997</v>
      </c>
      <c r="AD558" s="36">
        <v>14.799999999999999</v>
      </c>
    </row>
    <row r="559" spans="1:30" s="37" customFormat="1" ht="15.75" customHeight="1" x14ac:dyDescent="0.2">
      <c r="A559" s="26">
        <v>2427</v>
      </c>
      <c r="B559" s="27" t="s">
        <v>1233</v>
      </c>
      <c r="C559" s="27" t="s">
        <v>38</v>
      </c>
      <c r="D559" s="28">
        <v>0.03</v>
      </c>
      <c r="E559" s="29">
        <v>40.99</v>
      </c>
      <c r="F559" s="29">
        <v>19.989999999999998</v>
      </c>
      <c r="G559" s="30" t="s">
        <v>39</v>
      </c>
      <c r="H559" s="27" t="s">
        <v>94</v>
      </c>
      <c r="I559" s="27" t="s">
        <v>49</v>
      </c>
      <c r="J559" s="27" t="s">
        <v>88</v>
      </c>
      <c r="K559" s="27" t="s">
        <v>73</v>
      </c>
      <c r="L559" s="31" t="s">
        <v>1234</v>
      </c>
      <c r="M559" s="32">
        <v>0.36</v>
      </c>
      <c r="N559" s="27" t="s">
        <v>33</v>
      </c>
      <c r="O559" s="27" t="s">
        <v>53</v>
      </c>
      <c r="P559" s="27" t="s">
        <v>187</v>
      </c>
      <c r="Q559" s="27" t="s">
        <v>1235</v>
      </c>
      <c r="R559" s="33">
        <v>76248</v>
      </c>
      <c r="S559" s="34">
        <v>42052</v>
      </c>
      <c r="T559" s="34">
        <v>42053</v>
      </c>
      <c r="U559" s="29">
        <v>395.30799999999999</v>
      </c>
      <c r="V559" s="26">
        <v>21</v>
      </c>
      <c r="W559" s="29">
        <v>885.65</v>
      </c>
      <c r="X559" s="26">
        <v>90860</v>
      </c>
      <c r="Y559" s="35">
        <v>5.99</v>
      </c>
      <c r="Z559" s="1" t="s">
        <v>3012</v>
      </c>
      <c r="AA559" s="36">
        <v>25.823699999999999</v>
      </c>
      <c r="AB559" s="54">
        <v>566.81600000000003</v>
      </c>
      <c r="AC559" s="54">
        <v>15.182571428571428</v>
      </c>
      <c r="AD559" s="36">
        <v>444.5283</v>
      </c>
    </row>
    <row r="560" spans="1:30" s="37" customFormat="1" ht="15.75" customHeight="1" x14ac:dyDescent="0.2">
      <c r="A560" s="26">
        <v>1305</v>
      </c>
      <c r="B560" s="27" t="s">
        <v>1230</v>
      </c>
      <c r="C560" s="27" t="s">
        <v>38</v>
      </c>
      <c r="D560" s="28">
        <v>0.04</v>
      </c>
      <c r="E560" s="29">
        <v>62.18</v>
      </c>
      <c r="F560" s="29">
        <v>10.84</v>
      </c>
      <c r="G560" s="30" t="s">
        <v>39</v>
      </c>
      <c r="H560" s="27" t="s">
        <v>40</v>
      </c>
      <c r="I560" s="27" t="s">
        <v>29</v>
      </c>
      <c r="J560" s="27" t="s">
        <v>126</v>
      </c>
      <c r="K560" s="27" t="s">
        <v>144</v>
      </c>
      <c r="L560" s="31" t="s">
        <v>1231</v>
      </c>
      <c r="M560" s="32">
        <v>0.63</v>
      </c>
      <c r="N560" s="27" t="s">
        <v>33</v>
      </c>
      <c r="O560" s="27" t="s">
        <v>60</v>
      </c>
      <c r="P560" s="27" t="s">
        <v>146</v>
      </c>
      <c r="Q560" s="27" t="s">
        <v>1232</v>
      </c>
      <c r="R560" s="33">
        <v>84120</v>
      </c>
      <c r="S560" s="34">
        <v>42052</v>
      </c>
      <c r="T560" s="34">
        <v>42054</v>
      </c>
      <c r="U560" s="29">
        <v>125.8077</v>
      </c>
      <c r="V560" s="26">
        <v>3</v>
      </c>
      <c r="W560" s="29">
        <v>182.33</v>
      </c>
      <c r="X560" s="26">
        <v>87002</v>
      </c>
      <c r="Y560" s="35">
        <v>62.14</v>
      </c>
      <c r="Z560" s="1" t="s">
        <v>3013</v>
      </c>
      <c r="AA560" s="36">
        <v>7.4616000000000007</v>
      </c>
      <c r="AB560" s="54">
        <v>67.462100000000007</v>
      </c>
      <c r="AC560" s="54">
        <v>38.289300000000004</v>
      </c>
      <c r="AD560" s="36">
        <v>38.220700000000022</v>
      </c>
    </row>
    <row r="561" spans="1:30" s="37" customFormat="1" ht="15.75" customHeight="1" x14ac:dyDescent="0.2">
      <c r="A561" s="26">
        <v>936</v>
      </c>
      <c r="B561" s="27" t="s">
        <v>1227</v>
      </c>
      <c r="C561" s="27" t="s">
        <v>26</v>
      </c>
      <c r="D561" s="28">
        <v>0.05</v>
      </c>
      <c r="E561" s="29">
        <v>6.04</v>
      </c>
      <c r="F561" s="29">
        <v>2.14</v>
      </c>
      <c r="G561" s="30" t="s">
        <v>87</v>
      </c>
      <c r="H561" s="27" t="s">
        <v>94</v>
      </c>
      <c r="I561" s="27" t="s">
        <v>49</v>
      </c>
      <c r="J561" s="27" t="s">
        <v>88</v>
      </c>
      <c r="K561" s="27" t="s">
        <v>51</v>
      </c>
      <c r="L561" s="31" t="s">
        <v>1228</v>
      </c>
      <c r="M561" s="32">
        <v>0.38</v>
      </c>
      <c r="N561" s="27" t="s">
        <v>33</v>
      </c>
      <c r="O561" s="27" t="s">
        <v>60</v>
      </c>
      <c r="P561" s="27" t="s">
        <v>90</v>
      </c>
      <c r="Q561" s="27" t="s">
        <v>1229</v>
      </c>
      <c r="R561" s="33">
        <v>92374</v>
      </c>
      <c r="S561" s="34">
        <v>42052</v>
      </c>
      <c r="T561" s="34">
        <v>42054</v>
      </c>
      <c r="U561" s="29">
        <v>-4.1399999999999997</v>
      </c>
      <c r="V561" s="26">
        <v>1</v>
      </c>
      <c r="W561" s="29">
        <v>8.41</v>
      </c>
      <c r="X561" s="26">
        <v>90588</v>
      </c>
      <c r="Y561" s="35">
        <v>40.96</v>
      </c>
      <c r="Z561" s="1" t="s">
        <v>3013</v>
      </c>
      <c r="AA561" s="36">
        <v>0.30200000000000005</v>
      </c>
      <c r="AB561" s="54">
        <v>5.2141999999999999</v>
      </c>
      <c r="AC561" s="54">
        <v>3.1958000000000002</v>
      </c>
      <c r="AD561" s="36">
        <v>10.108000000000001</v>
      </c>
    </row>
    <row r="562" spans="1:30" s="37" customFormat="1" ht="15.75" customHeight="1" x14ac:dyDescent="0.2">
      <c r="A562" s="26">
        <v>2498</v>
      </c>
      <c r="B562" s="27" t="s">
        <v>929</v>
      </c>
      <c r="C562" s="27" t="s">
        <v>3094</v>
      </c>
      <c r="D562" s="28">
        <v>0.09</v>
      </c>
      <c r="E562" s="29">
        <v>355.98</v>
      </c>
      <c r="F562" s="29">
        <v>58.92</v>
      </c>
      <c r="G562" s="30" t="s">
        <v>27</v>
      </c>
      <c r="H562" s="27" t="s">
        <v>94</v>
      </c>
      <c r="I562" s="27" t="s">
        <v>29</v>
      </c>
      <c r="J562" s="27" t="s">
        <v>109</v>
      </c>
      <c r="K562" s="27" t="s">
        <v>58</v>
      </c>
      <c r="L562" s="31" t="s">
        <v>694</v>
      </c>
      <c r="M562" s="32">
        <v>0.64</v>
      </c>
      <c r="N562" s="27" t="s">
        <v>33</v>
      </c>
      <c r="O562" s="27" t="s">
        <v>60</v>
      </c>
      <c r="P562" s="27" t="s">
        <v>90</v>
      </c>
      <c r="Q562" s="27" t="s">
        <v>890</v>
      </c>
      <c r="R562" s="33">
        <v>92024</v>
      </c>
      <c r="S562" s="34">
        <v>42053</v>
      </c>
      <c r="T562" s="34">
        <v>42055</v>
      </c>
      <c r="U562" s="29">
        <v>1240.25</v>
      </c>
      <c r="V562" s="26">
        <v>30</v>
      </c>
      <c r="W562" s="29">
        <v>10554.63</v>
      </c>
      <c r="X562" s="26">
        <v>16547</v>
      </c>
      <c r="Y562" s="35">
        <v>15.98</v>
      </c>
      <c r="Z562" s="1" t="s">
        <v>3013</v>
      </c>
      <c r="AA562" s="36">
        <v>961.14600000000007</v>
      </c>
      <c r="AB562" s="54">
        <v>3799.6667999999995</v>
      </c>
      <c r="AC562" s="54">
        <v>225.16543999999999</v>
      </c>
      <c r="AD562" s="36">
        <v>8294.3139999999985</v>
      </c>
    </row>
    <row r="563" spans="1:30" s="37" customFormat="1" ht="15.75" customHeight="1" x14ac:dyDescent="0.2">
      <c r="A563" s="26">
        <v>2141</v>
      </c>
      <c r="B563" s="27" t="s">
        <v>1241</v>
      </c>
      <c r="C563" s="27" t="s">
        <v>38</v>
      </c>
      <c r="D563" s="28">
        <v>0.02</v>
      </c>
      <c r="E563" s="29">
        <v>549.99</v>
      </c>
      <c r="F563" s="29">
        <v>49</v>
      </c>
      <c r="G563" s="30" t="s">
        <v>27</v>
      </c>
      <c r="H563" s="27" t="s">
        <v>71</v>
      </c>
      <c r="I563" s="27" t="s">
        <v>41</v>
      </c>
      <c r="J563" s="27" t="s">
        <v>64</v>
      </c>
      <c r="K563" s="27" t="s">
        <v>58</v>
      </c>
      <c r="L563" s="31" t="s">
        <v>1244</v>
      </c>
      <c r="M563" s="32">
        <v>0.35</v>
      </c>
      <c r="N563" s="27" t="s">
        <v>33</v>
      </c>
      <c r="O563" s="27" t="s">
        <v>60</v>
      </c>
      <c r="P563" s="27" t="s">
        <v>61</v>
      </c>
      <c r="Q563" s="27" t="s">
        <v>1243</v>
      </c>
      <c r="R563" s="33">
        <v>81301</v>
      </c>
      <c r="S563" s="34">
        <v>42053</v>
      </c>
      <c r="T563" s="34">
        <v>42055</v>
      </c>
      <c r="U563" s="29">
        <v>-381.84120000000001</v>
      </c>
      <c r="V563" s="26">
        <v>18</v>
      </c>
      <c r="W563" s="29">
        <v>9798.84</v>
      </c>
      <c r="X563" s="26">
        <v>87570</v>
      </c>
      <c r="Y563" s="35">
        <v>47.919999999999995</v>
      </c>
      <c r="Z563" s="1" t="s">
        <v>3013</v>
      </c>
      <c r="AA563" s="36">
        <v>197.99639999999999</v>
      </c>
      <c r="AB563" s="54">
        <v>6369.2460000000001</v>
      </c>
      <c r="AC563" s="54">
        <v>190.53299999999999</v>
      </c>
      <c r="AD563" s="36">
        <v>9933.6848000000009</v>
      </c>
    </row>
    <row r="564" spans="1:30" s="37" customFormat="1" ht="15.75" customHeight="1" x14ac:dyDescent="0.2">
      <c r="A564" s="26">
        <v>2499</v>
      </c>
      <c r="B564" s="27" t="s">
        <v>1251</v>
      </c>
      <c r="C564" s="27" t="s">
        <v>3094</v>
      </c>
      <c r="D564" s="28">
        <v>0.09</v>
      </c>
      <c r="E564" s="29">
        <v>355.98</v>
      </c>
      <c r="F564" s="29">
        <v>58.92</v>
      </c>
      <c r="G564" s="30" t="s">
        <v>27</v>
      </c>
      <c r="H564" s="27" t="s">
        <v>94</v>
      </c>
      <c r="I564" s="27" t="s">
        <v>29</v>
      </c>
      <c r="J564" s="27" t="s">
        <v>109</v>
      </c>
      <c r="K564" s="27" t="s">
        <v>58</v>
      </c>
      <c r="L564" s="31" t="s">
        <v>694</v>
      </c>
      <c r="M564" s="32">
        <v>0.64</v>
      </c>
      <c r="N564" s="27" t="s">
        <v>33</v>
      </c>
      <c r="O564" s="27" t="s">
        <v>53</v>
      </c>
      <c r="P564" s="27" t="s">
        <v>103</v>
      </c>
      <c r="Q564" s="27" t="s">
        <v>1252</v>
      </c>
      <c r="R564" s="33">
        <v>60901</v>
      </c>
      <c r="S564" s="34">
        <v>42053</v>
      </c>
      <c r="T564" s="34">
        <v>42055</v>
      </c>
      <c r="U564" s="29">
        <v>1240.25</v>
      </c>
      <c r="V564" s="26">
        <v>8</v>
      </c>
      <c r="W564" s="29">
        <v>2814.57</v>
      </c>
      <c r="X564" s="26">
        <v>88319</v>
      </c>
      <c r="Y564" s="35">
        <v>5.4300000000000006</v>
      </c>
      <c r="Z564" s="1" t="s">
        <v>3012</v>
      </c>
      <c r="AA564" s="36">
        <v>256.30560000000003</v>
      </c>
      <c r="AB564" s="54">
        <v>1013.2452000000001</v>
      </c>
      <c r="AC564" s="54">
        <v>225.16560000000001</v>
      </c>
      <c r="AD564" s="36">
        <v>1259.0944</v>
      </c>
    </row>
    <row r="565" spans="1:30" s="37" customFormat="1" ht="15.75" customHeight="1" x14ac:dyDescent="0.2">
      <c r="A565" s="26">
        <v>2521</v>
      </c>
      <c r="B565" s="27" t="s">
        <v>1248</v>
      </c>
      <c r="C565" s="27" t="s">
        <v>116</v>
      </c>
      <c r="D565" s="28">
        <v>0</v>
      </c>
      <c r="E565" s="29">
        <v>175.99</v>
      </c>
      <c r="F565" s="29">
        <v>4.99</v>
      </c>
      <c r="G565" s="30" t="s">
        <v>39</v>
      </c>
      <c r="H565" s="27" t="s">
        <v>71</v>
      </c>
      <c r="I565" s="27" t="s">
        <v>41</v>
      </c>
      <c r="J565" s="27" t="s">
        <v>135</v>
      </c>
      <c r="K565" s="27" t="s">
        <v>73</v>
      </c>
      <c r="L565" s="31" t="s">
        <v>1249</v>
      </c>
      <c r="M565" s="32">
        <v>0.59</v>
      </c>
      <c r="N565" s="27" t="s">
        <v>33</v>
      </c>
      <c r="O565" s="27" t="s">
        <v>53</v>
      </c>
      <c r="P565" s="27" t="s">
        <v>187</v>
      </c>
      <c r="Q565" s="27" t="s">
        <v>1250</v>
      </c>
      <c r="R565" s="33">
        <v>75109</v>
      </c>
      <c r="S565" s="34">
        <v>42053</v>
      </c>
      <c r="T565" s="34">
        <v>42056</v>
      </c>
      <c r="U565" s="29">
        <v>1656.6555000000001</v>
      </c>
      <c r="V565" s="26">
        <v>15</v>
      </c>
      <c r="W565" s="29">
        <v>2400.9499999999998</v>
      </c>
      <c r="X565" s="26">
        <v>87032</v>
      </c>
      <c r="Y565" s="35">
        <v>549.97</v>
      </c>
      <c r="Z565" s="1" t="s">
        <v>3012</v>
      </c>
      <c r="AA565" s="36">
        <v>0</v>
      </c>
      <c r="AB565" s="54">
        <v>984.3895</v>
      </c>
      <c r="AC565" s="54">
        <v>94.437366666666662</v>
      </c>
      <c r="AD565" s="36">
        <v>739.30449999999973</v>
      </c>
    </row>
    <row r="566" spans="1:30" s="37" customFormat="1" ht="15.75" customHeight="1" x14ac:dyDescent="0.2">
      <c r="A566" s="26">
        <v>2498</v>
      </c>
      <c r="B566" s="27" t="s">
        <v>929</v>
      </c>
      <c r="C566" s="27" t="s">
        <v>3094</v>
      </c>
      <c r="D566" s="28">
        <v>0.04</v>
      </c>
      <c r="E566" s="29">
        <v>218.75</v>
      </c>
      <c r="F566" s="29">
        <v>69.64</v>
      </c>
      <c r="G566" s="30" t="s">
        <v>27</v>
      </c>
      <c r="H566" s="27" t="s">
        <v>94</v>
      </c>
      <c r="I566" s="27" t="s">
        <v>29</v>
      </c>
      <c r="J566" s="27" t="s">
        <v>30</v>
      </c>
      <c r="K566" s="27" t="s">
        <v>31</v>
      </c>
      <c r="L566" s="31" t="s">
        <v>874</v>
      </c>
      <c r="M566" s="32">
        <v>0.77</v>
      </c>
      <c r="N566" s="27" t="s">
        <v>33</v>
      </c>
      <c r="O566" s="27" t="s">
        <v>60</v>
      </c>
      <c r="P566" s="27" t="s">
        <v>90</v>
      </c>
      <c r="Q566" s="27" t="s">
        <v>890</v>
      </c>
      <c r="R566" s="33">
        <v>92024</v>
      </c>
      <c r="S566" s="34">
        <v>42053</v>
      </c>
      <c r="T566" s="34">
        <v>42053</v>
      </c>
      <c r="U566" s="29">
        <v>-533.23199999999997</v>
      </c>
      <c r="V566" s="26">
        <v>8</v>
      </c>
      <c r="W566" s="29">
        <v>1749.64</v>
      </c>
      <c r="X566" s="26">
        <v>16547</v>
      </c>
      <c r="Y566" s="35">
        <v>21.98</v>
      </c>
      <c r="Z566" s="1" t="s">
        <v>3013</v>
      </c>
      <c r="AA566" s="36">
        <v>70</v>
      </c>
      <c r="AB566" s="54">
        <v>402.41719999999998</v>
      </c>
      <c r="AC566" s="54">
        <v>168.40285</v>
      </c>
      <c r="AD566" s="36">
        <v>2143.232</v>
      </c>
    </row>
    <row r="567" spans="1:30" s="37" customFormat="1" ht="15.75" customHeight="1" x14ac:dyDescent="0.2">
      <c r="A567" s="26">
        <v>1065</v>
      </c>
      <c r="B567" s="27" t="s">
        <v>1236</v>
      </c>
      <c r="C567" s="27" t="s">
        <v>26</v>
      </c>
      <c r="D567" s="28">
        <v>0.01</v>
      </c>
      <c r="E567" s="29">
        <v>15.99</v>
      </c>
      <c r="F567" s="29">
        <v>13.18</v>
      </c>
      <c r="G567" s="30" t="s">
        <v>39</v>
      </c>
      <c r="H567" s="27" t="s">
        <v>94</v>
      </c>
      <c r="I567" s="27" t="s">
        <v>49</v>
      </c>
      <c r="J567" s="27" t="s">
        <v>72</v>
      </c>
      <c r="K567" s="27" t="s">
        <v>73</v>
      </c>
      <c r="L567" s="31" t="s">
        <v>295</v>
      </c>
      <c r="M567" s="32">
        <v>0.37</v>
      </c>
      <c r="N567" s="27" t="s">
        <v>33</v>
      </c>
      <c r="O567" s="27" t="s">
        <v>53</v>
      </c>
      <c r="P567" s="27" t="s">
        <v>103</v>
      </c>
      <c r="Q567" s="27" t="s">
        <v>1237</v>
      </c>
      <c r="R567" s="33">
        <v>60459</v>
      </c>
      <c r="S567" s="34">
        <v>42053</v>
      </c>
      <c r="T567" s="34">
        <v>42055</v>
      </c>
      <c r="U567" s="29">
        <v>-99.43544</v>
      </c>
      <c r="V567" s="26">
        <v>23</v>
      </c>
      <c r="W567" s="29">
        <v>377.44</v>
      </c>
      <c r="X567" s="26">
        <v>88899</v>
      </c>
      <c r="Y567" s="35">
        <v>34.669999999999995</v>
      </c>
      <c r="Z567" s="1" t="s">
        <v>3012</v>
      </c>
      <c r="AA567" s="36">
        <v>3.6777000000000002</v>
      </c>
      <c r="AB567" s="54">
        <v>237.78720000000001</v>
      </c>
      <c r="AC567" s="54">
        <v>6.0718608695652172</v>
      </c>
      <c r="AD567" s="36">
        <v>460.01774</v>
      </c>
    </row>
    <row r="568" spans="1:30" s="37" customFormat="1" ht="15.75" customHeight="1" x14ac:dyDescent="0.2">
      <c r="A568" s="26">
        <v>2141</v>
      </c>
      <c r="B568" s="27" t="s">
        <v>1241</v>
      </c>
      <c r="C568" s="27" t="s">
        <v>38</v>
      </c>
      <c r="D568" s="28">
        <v>0.09</v>
      </c>
      <c r="E568" s="29">
        <v>34.76</v>
      </c>
      <c r="F568" s="29">
        <v>8.2200000000000006</v>
      </c>
      <c r="G568" s="30" t="s">
        <v>39</v>
      </c>
      <c r="H568" s="27" t="s">
        <v>71</v>
      </c>
      <c r="I568" s="27" t="s">
        <v>49</v>
      </c>
      <c r="J568" s="27" t="s">
        <v>78</v>
      </c>
      <c r="K568" s="27" t="s">
        <v>73</v>
      </c>
      <c r="L568" s="31" t="s">
        <v>1245</v>
      </c>
      <c r="M568" s="32">
        <v>0.56999999999999995</v>
      </c>
      <c r="N568" s="27" t="s">
        <v>33</v>
      </c>
      <c r="O568" s="27" t="s">
        <v>60</v>
      </c>
      <c r="P568" s="27" t="s">
        <v>61</v>
      </c>
      <c r="Q568" s="27" t="s">
        <v>1243</v>
      </c>
      <c r="R568" s="33">
        <v>81301</v>
      </c>
      <c r="S568" s="34">
        <v>42053</v>
      </c>
      <c r="T568" s="34">
        <v>42055</v>
      </c>
      <c r="U568" s="29">
        <v>45.3324</v>
      </c>
      <c r="V568" s="26">
        <v>7</v>
      </c>
      <c r="W568" s="29">
        <v>242.97</v>
      </c>
      <c r="X568" s="26">
        <v>87570</v>
      </c>
      <c r="Y568" s="35">
        <v>5.13</v>
      </c>
      <c r="Z568" s="1" t="s">
        <v>3013</v>
      </c>
      <c r="AA568" s="36">
        <v>21.898799999999998</v>
      </c>
      <c r="AB568" s="54">
        <v>104.47710000000001</v>
      </c>
      <c r="AC568" s="54">
        <v>19.784699999999997</v>
      </c>
      <c r="AD568" s="36">
        <v>167.5188</v>
      </c>
    </row>
    <row r="569" spans="1:30" s="37" customFormat="1" ht="15.75" customHeight="1" x14ac:dyDescent="0.2">
      <c r="A569" s="26">
        <v>2141</v>
      </c>
      <c r="B569" s="27" t="s">
        <v>1241</v>
      </c>
      <c r="C569" s="27" t="s">
        <v>38</v>
      </c>
      <c r="D569" s="28">
        <v>0.03</v>
      </c>
      <c r="E569" s="29">
        <v>22.01</v>
      </c>
      <c r="F569" s="29">
        <v>5.53</v>
      </c>
      <c r="G569" s="30" t="s">
        <v>87</v>
      </c>
      <c r="H569" s="27" t="s">
        <v>71</v>
      </c>
      <c r="I569" s="27" t="s">
        <v>49</v>
      </c>
      <c r="J569" s="27" t="s">
        <v>50</v>
      </c>
      <c r="K569" s="27" t="s">
        <v>43</v>
      </c>
      <c r="L569" s="31" t="s">
        <v>496</v>
      </c>
      <c r="M569" s="32">
        <v>0.59</v>
      </c>
      <c r="N569" s="27" t="s">
        <v>33</v>
      </c>
      <c r="O569" s="27" t="s">
        <v>60</v>
      </c>
      <c r="P569" s="27" t="s">
        <v>61</v>
      </c>
      <c r="Q569" s="27" t="s">
        <v>1243</v>
      </c>
      <c r="R569" s="33">
        <v>81301</v>
      </c>
      <c r="S569" s="34">
        <v>42053</v>
      </c>
      <c r="T569" s="34">
        <v>42054</v>
      </c>
      <c r="U569" s="29">
        <v>12.5504</v>
      </c>
      <c r="V569" s="26">
        <v>7</v>
      </c>
      <c r="W569" s="29">
        <v>154.11000000000001</v>
      </c>
      <c r="X569" s="26">
        <v>87570</v>
      </c>
      <c r="Y569" s="35">
        <v>175.99</v>
      </c>
      <c r="Z569" s="1" t="s">
        <v>3013</v>
      </c>
      <c r="AA569" s="36">
        <v>4.6220999999999997</v>
      </c>
      <c r="AB569" s="54">
        <v>63.185100000000013</v>
      </c>
      <c r="AC569" s="54">
        <v>12.989271428571429</v>
      </c>
      <c r="AD569" s="36">
        <v>131.40750000000003</v>
      </c>
    </row>
    <row r="570" spans="1:30" s="37" customFormat="1" ht="15.75" customHeight="1" x14ac:dyDescent="0.2">
      <c r="A570" s="26">
        <v>3255</v>
      </c>
      <c r="B570" s="27" t="s">
        <v>1238</v>
      </c>
      <c r="C570" s="27" t="s">
        <v>26</v>
      </c>
      <c r="D570" s="28">
        <v>0.06</v>
      </c>
      <c r="E570" s="29">
        <v>47.98</v>
      </c>
      <c r="F570" s="29">
        <v>3.61</v>
      </c>
      <c r="G570" s="30" t="s">
        <v>39</v>
      </c>
      <c r="H570" s="27" t="s">
        <v>71</v>
      </c>
      <c r="I570" s="27" t="s">
        <v>41</v>
      </c>
      <c r="J570" s="27" t="s">
        <v>42</v>
      </c>
      <c r="K570" s="27" t="s">
        <v>43</v>
      </c>
      <c r="L570" s="31" t="s">
        <v>1239</v>
      </c>
      <c r="M570" s="32">
        <v>0.71</v>
      </c>
      <c r="N570" s="27" t="s">
        <v>33</v>
      </c>
      <c r="O570" s="27" t="s">
        <v>34</v>
      </c>
      <c r="P570" s="27" t="s">
        <v>123</v>
      </c>
      <c r="Q570" s="27" t="s">
        <v>1240</v>
      </c>
      <c r="R570" s="33">
        <v>33319</v>
      </c>
      <c r="S570" s="34">
        <v>42053</v>
      </c>
      <c r="T570" s="34">
        <v>42055</v>
      </c>
      <c r="U570" s="29">
        <v>596.80799999999999</v>
      </c>
      <c r="V570" s="26">
        <v>2</v>
      </c>
      <c r="W570" s="29">
        <v>97.96</v>
      </c>
      <c r="X570" s="26">
        <v>90488</v>
      </c>
      <c r="Y570" s="35">
        <v>355.89000000000004</v>
      </c>
      <c r="Z570" s="1" t="s">
        <v>3011</v>
      </c>
      <c r="AA570" s="36">
        <v>5.7575999999999992</v>
      </c>
      <c r="AB570" s="54">
        <v>28.4084</v>
      </c>
      <c r="AC570" s="54">
        <v>34.775799999999997</v>
      </c>
      <c r="AD570" s="36">
        <v>-508.21560000000005</v>
      </c>
    </row>
    <row r="571" spans="1:30" s="37" customFormat="1" ht="15.75" customHeight="1" x14ac:dyDescent="0.2">
      <c r="A571" s="26">
        <v>91</v>
      </c>
      <c r="B571" s="27" t="s">
        <v>1246</v>
      </c>
      <c r="C571" s="27" t="s">
        <v>116</v>
      </c>
      <c r="D571" s="28">
        <v>0.05</v>
      </c>
      <c r="E571" s="29">
        <v>5.18</v>
      </c>
      <c r="F571" s="29">
        <v>2.04</v>
      </c>
      <c r="G571" s="30" t="s">
        <v>39</v>
      </c>
      <c r="H571" s="27" t="s">
        <v>71</v>
      </c>
      <c r="I571" s="27" t="s">
        <v>49</v>
      </c>
      <c r="J571" s="27" t="s">
        <v>88</v>
      </c>
      <c r="K571" s="27" t="s">
        <v>51</v>
      </c>
      <c r="L571" s="31" t="s">
        <v>833</v>
      </c>
      <c r="M571" s="32">
        <v>0.36</v>
      </c>
      <c r="N571" s="27" t="s">
        <v>33</v>
      </c>
      <c r="O571" s="27" t="s">
        <v>60</v>
      </c>
      <c r="P571" s="27" t="s">
        <v>90</v>
      </c>
      <c r="Q571" s="27" t="s">
        <v>1247</v>
      </c>
      <c r="R571" s="33">
        <v>94591</v>
      </c>
      <c r="S571" s="34">
        <v>42053</v>
      </c>
      <c r="T571" s="34">
        <v>42055</v>
      </c>
      <c r="U571" s="29">
        <v>34.010399999999997</v>
      </c>
      <c r="V571" s="26">
        <v>10</v>
      </c>
      <c r="W571" s="29">
        <v>53.54</v>
      </c>
      <c r="X571" s="26">
        <v>87176</v>
      </c>
      <c r="Y571" s="35">
        <v>218.71</v>
      </c>
      <c r="Z571" s="1" t="s">
        <v>3013</v>
      </c>
      <c r="AA571" s="36">
        <v>2.59</v>
      </c>
      <c r="AB571" s="54">
        <v>34.265599999999999</v>
      </c>
      <c r="AC571" s="54">
        <v>1.92744</v>
      </c>
      <c r="AD571" s="36">
        <v>14.8996</v>
      </c>
    </row>
    <row r="572" spans="1:30" s="37" customFormat="1" ht="15.75" customHeight="1" x14ac:dyDescent="0.2">
      <c r="A572" s="26">
        <v>2141</v>
      </c>
      <c r="B572" s="27" t="s">
        <v>1241</v>
      </c>
      <c r="C572" s="27" t="s">
        <v>38</v>
      </c>
      <c r="D572" s="28">
        <v>0.01</v>
      </c>
      <c r="E572" s="29">
        <v>5.44</v>
      </c>
      <c r="F572" s="29">
        <v>7.46</v>
      </c>
      <c r="G572" s="30" t="s">
        <v>39</v>
      </c>
      <c r="H572" s="27" t="s">
        <v>71</v>
      </c>
      <c r="I572" s="27" t="s">
        <v>49</v>
      </c>
      <c r="J572" s="27" t="s">
        <v>72</v>
      </c>
      <c r="K572" s="27" t="s">
        <v>73</v>
      </c>
      <c r="L572" s="31" t="s">
        <v>1242</v>
      </c>
      <c r="M572" s="32">
        <v>0.36</v>
      </c>
      <c r="N572" s="27" t="s">
        <v>33</v>
      </c>
      <c r="O572" s="27" t="s">
        <v>60</v>
      </c>
      <c r="P572" s="27" t="s">
        <v>61</v>
      </c>
      <c r="Q572" s="27" t="s">
        <v>1243</v>
      </c>
      <c r="R572" s="33">
        <v>81301</v>
      </c>
      <c r="S572" s="34">
        <v>42053</v>
      </c>
      <c r="T572" s="34">
        <v>42054</v>
      </c>
      <c r="U572" s="29">
        <v>-18.478200000000001</v>
      </c>
      <c r="V572" s="26">
        <v>3</v>
      </c>
      <c r="W572" s="29">
        <v>19.68</v>
      </c>
      <c r="X572" s="26">
        <v>87570</v>
      </c>
      <c r="Y572" s="35">
        <v>355.89000000000004</v>
      </c>
      <c r="Z572" s="1" t="s">
        <v>3013</v>
      </c>
      <c r="AA572" s="36">
        <v>0.16320000000000001</v>
      </c>
      <c r="AB572" s="54">
        <v>12.5952</v>
      </c>
      <c r="AC572" s="54">
        <v>2.3615999999999997</v>
      </c>
      <c r="AD572" s="36">
        <v>30.535</v>
      </c>
    </row>
    <row r="573" spans="1:30" s="37" customFormat="1" ht="15.75" customHeight="1" x14ac:dyDescent="0.2">
      <c r="A573" s="26">
        <v>2052</v>
      </c>
      <c r="B573" s="27" t="s">
        <v>1268</v>
      </c>
      <c r="C573" s="27" t="s">
        <v>3094</v>
      </c>
      <c r="D573" s="28">
        <v>0.1</v>
      </c>
      <c r="E573" s="29">
        <v>35.99</v>
      </c>
      <c r="F573" s="29">
        <v>1.1000000000000001</v>
      </c>
      <c r="G573" s="30" t="s">
        <v>87</v>
      </c>
      <c r="H573" s="27" t="s">
        <v>71</v>
      </c>
      <c r="I573" s="27" t="s">
        <v>41</v>
      </c>
      <c r="J573" s="27" t="s">
        <v>135</v>
      </c>
      <c r="K573" s="27" t="s">
        <v>73</v>
      </c>
      <c r="L573" s="31" t="s">
        <v>274</v>
      </c>
      <c r="M573" s="32">
        <v>0.55000000000000004</v>
      </c>
      <c r="N573" s="27" t="s">
        <v>33</v>
      </c>
      <c r="O573" s="27" t="s">
        <v>60</v>
      </c>
      <c r="P573" s="27" t="s">
        <v>640</v>
      </c>
      <c r="Q573" s="27" t="s">
        <v>1269</v>
      </c>
      <c r="R573" s="33">
        <v>87105</v>
      </c>
      <c r="S573" s="34">
        <v>42054</v>
      </c>
      <c r="T573" s="34">
        <v>42055</v>
      </c>
      <c r="U573" s="29">
        <v>390.09840000000003</v>
      </c>
      <c r="V573" s="26">
        <v>19</v>
      </c>
      <c r="W573" s="29">
        <v>565.36</v>
      </c>
      <c r="X573" s="26">
        <v>87234</v>
      </c>
      <c r="Y573" s="35">
        <v>4.2300000000000004</v>
      </c>
      <c r="Z573" s="1" t="s">
        <v>3013</v>
      </c>
      <c r="AA573" s="36">
        <v>68.381</v>
      </c>
      <c r="AB573" s="54">
        <v>254.41199999999998</v>
      </c>
      <c r="AC573" s="54">
        <v>16.365684210526318</v>
      </c>
      <c r="AD573" s="36">
        <v>105.78059999999994</v>
      </c>
    </row>
    <row r="574" spans="1:30" s="37" customFormat="1" ht="15.75" customHeight="1" x14ac:dyDescent="0.2">
      <c r="A574" s="26">
        <v>1303</v>
      </c>
      <c r="B574" s="27" t="s">
        <v>1256</v>
      </c>
      <c r="C574" s="27" t="s">
        <v>48</v>
      </c>
      <c r="D574" s="28">
        <v>0.01</v>
      </c>
      <c r="E574" s="29">
        <v>65.989999999999995</v>
      </c>
      <c r="F574" s="29">
        <v>5.31</v>
      </c>
      <c r="G574" s="30" t="s">
        <v>39</v>
      </c>
      <c r="H574" s="27" t="s">
        <v>40</v>
      </c>
      <c r="I574" s="27" t="s">
        <v>41</v>
      </c>
      <c r="J574" s="27" t="s">
        <v>135</v>
      </c>
      <c r="K574" s="27" t="s">
        <v>73</v>
      </c>
      <c r="L574" s="31" t="s">
        <v>1262</v>
      </c>
      <c r="M574" s="32">
        <v>0.56999999999999995</v>
      </c>
      <c r="N574" s="27" t="s">
        <v>33</v>
      </c>
      <c r="O574" s="27" t="s">
        <v>60</v>
      </c>
      <c r="P574" s="27" t="s">
        <v>146</v>
      </c>
      <c r="Q574" s="27" t="s">
        <v>1258</v>
      </c>
      <c r="R574" s="33">
        <v>84074</v>
      </c>
      <c r="S574" s="34">
        <v>42054</v>
      </c>
      <c r="T574" s="34">
        <v>42061</v>
      </c>
      <c r="U574" s="29">
        <v>250.36272</v>
      </c>
      <c r="V574" s="26">
        <v>9</v>
      </c>
      <c r="W574" s="29">
        <v>536.9</v>
      </c>
      <c r="X574" s="26">
        <v>87005</v>
      </c>
      <c r="Y574" s="35">
        <v>39.449999999999996</v>
      </c>
      <c r="Z574" s="1" t="s">
        <v>3013</v>
      </c>
      <c r="AA574" s="36">
        <v>5.9390999999999998</v>
      </c>
      <c r="AB574" s="54">
        <v>230.86700000000002</v>
      </c>
      <c r="AC574" s="54">
        <v>34.00366666666666</v>
      </c>
      <c r="AD574" s="36">
        <v>275.28817999999995</v>
      </c>
    </row>
    <row r="575" spans="1:30" s="37" customFormat="1" ht="15.75" customHeight="1" x14ac:dyDescent="0.2">
      <c r="A575" s="26">
        <v>2287</v>
      </c>
      <c r="B575" s="27" t="s">
        <v>1263</v>
      </c>
      <c r="C575" s="27" t="s">
        <v>48</v>
      </c>
      <c r="D575" s="28">
        <v>0.1</v>
      </c>
      <c r="E575" s="29">
        <v>54.1</v>
      </c>
      <c r="F575" s="29">
        <v>19.989999999999998</v>
      </c>
      <c r="G575" s="30" t="s">
        <v>39</v>
      </c>
      <c r="H575" s="27" t="s">
        <v>94</v>
      </c>
      <c r="I575" s="27" t="s">
        <v>49</v>
      </c>
      <c r="J575" s="27" t="s">
        <v>78</v>
      </c>
      <c r="K575" s="27" t="s">
        <v>73</v>
      </c>
      <c r="L575" s="31" t="s">
        <v>1264</v>
      </c>
      <c r="M575" s="32">
        <v>0.59</v>
      </c>
      <c r="N575" s="27" t="s">
        <v>33</v>
      </c>
      <c r="O575" s="27" t="s">
        <v>34</v>
      </c>
      <c r="P575" s="27" t="s">
        <v>271</v>
      </c>
      <c r="Q575" s="27" t="s">
        <v>1265</v>
      </c>
      <c r="R575" s="33">
        <v>29483</v>
      </c>
      <c r="S575" s="34">
        <v>42054</v>
      </c>
      <c r="T575" s="34">
        <v>42059</v>
      </c>
      <c r="U575" s="29">
        <v>34.067999999999998</v>
      </c>
      <c r="V575" s="26">
        <v>9</v>
      </c>
      <c r="W575" s="29">
        <v>469.59</v>
      </c>
      <c r="X575" s="26">
        <v>90147</v>
      </c>
      <c r="Y575" s="35">
        <v>11.239999999999998</v>
      </c>
      <c r="Z575" s="1" t="s">
        <v>3011</v>
      </c>
      <c r="AA575" s="36">
        <v>48.69</v>
      </c>
      <c r="AB575" s="54">
        <v>192.53190000000001</v>
      </c>
      <c r="AC575" s="54">
        <v>30.784233333333329</v>
      </c>
      <c r="AD575" s="36">
        <v>366.84199999999998</v>
      </c>
    </row>
    <row r="576" spans="1:30" s="37" customFormat="1" ht="15.75" customHeight="1" x14ac:dyDescent="0.2">
      <c r="A576" s="26">
        <v>1303</v>
      </c>
      <c r="B576" s="27" t="s">
        <v>1256</v>
      </c>
      <c r="C576" s="27" t="s">
        <v>38</v>
      </c>
      <c r="D576" s="28">
        <v>0.03</v>
      </c>
      <c r="E576" s="29">
        <v>39.479999999999997</v>
      </c>
      <c r="F576" s="29">
        <v>1.99</v>
      </c>
      <c r="G576" s="30" t="s">
        <v>39</v>
      </c>
      <c r="H576" s="27" t="s">
        <v>40</v>
      </c>
      <c r="I576" s="27" t="s">
        <v>41</v>
      </c>
      <c r="J576" s="27" t="s">
        <v>42</v>
      </c>
      <c r="K576" s="27" t="s">
        <v>43</v>
      </c>
      <c r="L576" s="31" t="s">
        <v>1257</v>
      </c>
      <c r="M576" s="32">
        <v>0.54</v>
      </c>
      <c r="N576" s="27" t="s">
        <v>33</v>
      </c>
      <c r="O576" s="27" t="s">
        <v>60</v>
      </c>
      <c r="P576" s="27" t="s">
        <v>146</v>
      </c>
      <c r="Q576" s="27" t="s">
        <v>1258</v>
      </c>
      <c r="R576" s="33">
        <v>84074</v>
      </c>
      <c r="S576" s="34">
        <v>42054</v>
      </c>
      <c r="T576" s="34">
        <v>42056</v>
      </c>
      <c r="U576" s="29">
        <v>317.08949999999999</v>
      </c>
      <c r="V576" s="26">
        <v>12</v>
      </c>
      <c r="W576" s="29">
        <v>459.55</v>
      </c>
      <c r="X576" s="26">
        <v>87003</v>
      </c>
      <c r="Y576" s="35">
        <v>65.97999999999999</v>
      </c>
      <c r="Z576" s="1" t="s">
        <v>3013</v>
      </c>
      <c r="AA576" s="36">
        <v>14.212799999999998</v>
      </c>
      <c r="AB576" s="54">
        <v>211.393</v>
      </c>
      <c r="AC576" s="54">
        <v>20.679750000000002</v>
      </c>
      <c r="AD576" s="36">
        <v>126.2577</v>
      </c>
    </row>
    <row r="577" spans="1:30" s="37" customFormat="1" ht="15.75" customHeight="1" x14ac:dyDescent="0.2">
      <c r="A577" s="26">
        <v>2052</v>
      </c>
      <c r="B577" s="27" t="s">
        <v>1268</v>
      </c>
      <c r="C577" s="27" t="s">
        <v>3094</v>
      </c>
      <c r="D577" s="28">
        <v>7.0000000000000007E-2</v>
      </c>
      <c r="E577" s="29">
        <v>31.78</v>
      </c>
      <c r="F577" s="29">
        <v>1.99</v>
      </c>
      <c r="G577" s="30" t="s">
        <v>39</v>
      </c>
      <c r="H577" s="27" t="s">
        <v>71</v>
      </c>
      <c r="I577" s="27" t="s">
        <v>41</v>
      </c>
      <c r="J577" s="27" t="s">
        <v>42</v>
      </c>
      <c r="K577" s="27" t="s">
        <v>43</v>
      </c>
      <c r="L577" s="31" t="s">
        <v>870</v>
      </c>
      <c r="M577" s="32">
        <v>0.42</v>
      </c>
      <c r="N577" s="27" t="s">
        <v>33</v>
      </c>
      <c r="O577" s="27" t="s">
        <v>60</v>
      </c>
      <c r="P577" s="27" t="s">
        <v>640</v>
      </c>
      <c r="Q577" s="27" t="s">
        <v>1269</v>
      </c>
      <c r="R577" s="33">
        <v>87105</v>
      </c>
      <c r="S577" s="34">
        <v>42054</v>
      </c>
      <c r="T577" s="34">
        <v>42056</v>
      </c>
      <c r="U577" s="29">
        <v>265.11180000000002</v>
      </c>
      <c r="V577" s="26">
        <v>13</v>
      </c>
      <c r="W577" s="29">
        <v>384.22</v>
      </c>
      <c r="X577" s="26">
        <v>87234</v>
      </c>
      <c r="Y577" s="35">
        <v>54</v>
      </c>
      <c r="Z577" s="1" t="s">
        <v>3013</v>
      </c>
      <c r="AA577" s="36">
        <v>28.919800000000002</v>
      </c>
      <c r="AB577" s="54">
        <v>222.84760000000006</v>
      </c>
      <c r="AC577" s="54">
        <v>12.413261538461539</v>
      </c>
      <c r="AD577" s="36">
        <v>88.198399999999992</v>
      </c>
    </row>
    <row r="578" spans="1:30" s="37" customFormat="1" ht="15.75" customHeight="1" x14ac:dyDescent="0.2">
      <c r="A578" s="26">
        <v>2828</v>
      </c>
      <c r="B578" s="27" t="s">
        <v>1259</v>
      </c>
      <c r="C578" s="27" t="s">
        <v>38</v>
      </c>
      <c r="D578" s="28">
        <v>0.05</v>
      </c>
      <c r="E578" s="29">
        <v>11.29</v>
      </c>
      <c r="F578" s="29">
        <v>5.03</v>
      </c>
      <c r="G578" s="30" t="s">
        <v>39</v>
      </c>
      <c r="H578" s="27" t="s">
        <v>94</v>
      </c>
      <c r="I578" s="27" t="s">
        <v>49</v>
      </c>
      <c r="J578" s="27" t="s">
        <v>78</v>
      </c>
      <c r="K578" s="27" t="s">
        <v>73</v>
      </c>
      <c r="L578" s="31" t="s">
        <v>1260</v>
      </c>
      <c r="M578" s="32">
        <v>0.59</v>
      </c>
      <c r="N578" s="27" t="s">
        <v>33</v>
      </c>
      <c r="O578" s="27" t="s">
        <v>60</v>
      </c>
      <c r="P578" s="27" t="s">
        <v>90</v>
      </c>
      <c r="Q578" s="27" t="s">
        <v>1261</v>
      </c>
      <c r="R578" s="33">
        <v>92243</v>
      </c>
      <c r="S578" s="34">
        <v>42054</v>
      </c>
      <c r="T578" s="34">
        <v>42056</v>
      </c>
      <c r="U578" s="29">
        <v>-35.26</v>
      </c>
      <c r="V578" s="26">
        <v>8</v>
      </c>
      <c r="W578" s="29">
        <v>90.46</v>
      </c>
      <c r="X578" s="26">
        <v>87720</v>
      </c>
      <c r="Y578" s="35">
        <v>5.98</v>
      </c>
      <c r="Z578" s="1" t="s">
        <v>3013</v>
      </c>
      <c r="AA578" s="36">
        <v>4.516</v>
      </c>
      <c r="AB578" s="54">
        <v>37.0886</v>
      </c>
      <c r="AC578" s="54">
        <v>6.6714249999999993</v>
      </c>
      <c r="AD578" s="36">
        <v>116.17399999999999</v>
      </c>
    </row>
    <row r="579" spans="1:30" s="37" customFormat="1" ht="15.75" customHeight="1" x14ac:dyDescent="0.2">
      <c r="A579" s="26">
        <v>1827</v>
      </c>
      <c r="B579" s="27" t="s">
        <v>1266</v>
      </c>
      <c r="C579" s="27" t="s">
        <v>3094</v>
      </c>
      <c r="D579" s="28">
        <v>0</v>
      </c>
      <c r="E579" s="29">
        <v>5.98</v>
      </c>
      <c r="F579" s="29">
        <v>0.96</v>
      </c>
      <c r="G579" s="30" t="s">
        <v>39</v>
      </c>
      <c r="H579" s="27" t="s">
        <v>94</v>
      </c>
      <c r="I579" s="27" t="s">
        <v>49</v>
      </c>
      <c r="J579" s="27" t="s">
        <v>50</v>
      </c>
      <c r="K579" s="27" t="s">
        <v>51</v>
      </c>
      <c r="L579" s="31" t="s">
        <v>1267</v>
      </c>
      <c r="M579" s="32">
        <v>0.6</v>
      </c>
      <c r="N579" s="27" t="s">
        <v>33</v>
      </c>
      <c r="O579" s="27" t="s">
        <v>53</v>
      </c>
      <c r="P579" s="27" t="s">
        <v>213</v>
      </c>
      <c r="Q579" s="27" t="s">
        <v>928</v>
      </c>
      <c r="R579" s="33">
        <v>52601</v>
      </c>
      <c r="S579" s="34">
        <v>42054</v>
      </c>
      <c r="T579" s="34">
        <v>42055</v>
      </c>
      <c r="U579" s="29">
        <v>38.039700000000003</v>
      </c>
      <c r="V579" s="26">
        <v>9</v>
      </c>
      <c r="W579" s="29">
        <v>55.13</v>
      </c>
      <c r="X579" s="26">
        <v>86956</v>
      </c>
      <c r="Y579" s="35">
        <v>5.9600000000000009</v>
      </c>
      <c r="Z579" s="1" t="s">
        <v>3012</v>
      </c>
      <c r="AA579" s="36">
        <v>0</v>
      </c>
      <c r="AB579" s="54">
        <v>22.052000000000003</v>
      </c>
      <c r="AC579" s="54">
        <v>3.6753333333333331</v>
      </c>
      <c r="AD579" s="36">
        <v>16.130299999999998</v>
      </c>
    </row>
    <row r="580" spans="1:30" s="37" customFormat="1" ht="15.75" customHeight="1" x14ac:dyDescent="0.2">
      <c r="A580" s="26">
        <v>1828</v>
      </c>
      <c r="B580" s="27" t="s">
        <v>250</v>
      </c>
      <c r="C580" s="27" t="s">
        <v>3094</v>
      </c>
      <c r="D580" s="28">
        <v>0.02</v>
      </c>
      <c r="E580" s="29">
        <v>5.98</v>
      </c>
      <c r="F580" s="29">
        <v>5.46</v>
      </c>
      <c r="G580" s="30" t="s">
        <v>39</v>
      </c>
      <c r="H580" s="27" t="s">
        <v>94</v>
      </c>
      <c r="I580" s="27" t="s">
        <v>49</v>
      </c>
      <c r="J580" s="27" t="s">
        <v>88</v>
      </c>
      <c r="K580" s="27" t="s">
        <v>73</v>
      </c>
      <c r="L580" s="31" t="s">
        <v>1156</v>
      </c>
      <c r="M580" s="32">
        <v>0.36</v>
      </c>
      <c r="N580" s="27" t="s">
        <v>33</v>
      </c>
      <c r="O580" s="27" t="s">
        <v>53</v>
      </c>
      <c r="P580" s="27" t="s">
        <v>213</v>
      </c>
      <c r="Q580" s="27" t="s">
        <v>252</v>
      </c>
      <c r="R580" s="33">
        <v>50613</v>
      </c>
      <c r="S580" s="34">
        <v>42054</v>
      </c>
      <c r="T580" s="34">
        <v>42055</v>
      </c>
      <c r="U580" s="29">
        <v>-47.12</v>
      </c>
      <c r="V580" s="26">
        <v>7</v>
      </c>
      <c r="W580" s="29">
        <v>44.8</v>
      </c>
      <c r="X580" s="26">
        <v>86956</v>
      </c>
      <c r="Y580" s="35">
        <v>31.71</v>
      </c>
      <c r="Z580" s="1" t="s">
        <v>3012</v>
      </c>
      <c r="AA580" s="36">
        <v>0.83720000000000006</v>
      </c>
      <c r="AB580" s="54">
        <v>28.671999999999997</v>
      </c>
      <c r="AC580" s="54">
        <v>2.3039999999999998</v>
      </c>
      <c r="AD580" s="36">
        <v>85.622799999999984</v>
      </c>
    </row>
    <row r="581" spans="1:30" s="37" customFormat="1" ht="15.75" customHeight="1" x14ac:dyDescent="0.2">
      <c r="A581" s="26">
        <v>993</v>
      </c>
      <c r="B581" s="27" t="s">
        <v>1253</v>
      </c>
      <c r="C581" s="27" t="s">
        <v>38</v>
      </c>
      <c r="D581" s="28">
        <v>0.05</v>
      </c>
      <c r="E581" s="29">
        <v>4.28</v>
      </c>
      <c r="F581" s="29">
        <v>5.17</v>
      </c>
      <c r="G581" s="30" t="s">
        <v>39</v>
      </c>
      <c r="H581" s="27" t="s">
        <v>3095</v>
      </c>
      <c r="I581" s="27" t="s">
        <v>49</v>
      </c>
      <c r="J581" s="27" t="s">
        <v>88</v>
      </c>
      <c r="K581" s="27" t="s">
        <v>73</v>
      </c>
      <c r="L581" s="31" t="s">
        <v>1254</v>
      </c>
      <c r="M581" s="32">
        <v>0.4</v>
      </c>
      <c r="N581" s="27" t="s">
        <v>33</v>
      </c>
      <c r="O581" s="27" t="s">
        <v>60</v>
      </c>
      <c r="P581" s="27" t="s">
        <v>90</v>
      </c>
      <c r="Q581" s="27" t="s">
        <v>1255</v>
      </c>
      <c r="R581" s="33">
        <v>93030</v>
      </c>
      <c r="S581" s="34">
        <v>42054</v>
      </c>
      <c r="T581" s="34">
        <v>42054</v>
      </c>
      <c r="U581" s="29">
        <v>-104.57</v>
      </c>
      <c r="V581" s="26">
        <v>9</v>
      </c>
      <c r="W581" s="29">
        <v>38.58</v>
      </c>
      <c r="X581" s="26">
        <v>89432</v>
      </c>
      <c r="Y581" s="35">
        <v>5.98</v>
      </c>
      <c r="Z581" s="1" t="s">
        <v>3013</v>
      </c>
      <c r="AA581" s="36">
        <v>1.9260000000000002</v>
      </c>
      <c r="AB581" s="54">
        <v>23.148</v>
      </c>
      <c r="AC581" s="54">
        <v>1.7146666666666666</v>
      </c>
      <c r="AD581" s="36">
        <v>136.05399999999997</v>
      </c>
    </row>
    <row r="582" spans="1:30" s="37" customFormat="1" ht="15.75" customHeight="1" x14ac:dyDescent="0.2">
      <c r="A582" s="26">
        <v>2052</v>
      </c>
      <c r="B582" s="27" t="s">
        <v>1268</v>
      </c>
      <c r="C582" s="27" t="s">
        <v>3094</v>
      </c>
      <c r="D582" s="28">
        <v>0</v>
      </c>
      <c r="E582" s="29">
        <v>5.98</v>
      </c>
      <c r="F582" s="29">
        <v>2.5</v>
      </c>
      <c r="G582" s="30" t="s">
        <v>39</v>
      </c>
      <c r="H582" s="27" t="s">
        <v>71</v>
      </c>
      <c r="I582" s="27" t="s">
        <v>49</v>
      </c>
      <c r="J582" s="27" t="s">
        <v>345</v>
      </c>
      <c r="K582" s="27" t="s">
        <v>73</v>
      </c>
      <c r="L582" s="31" t="s">
        <v>1270</v>
      </c>
      <c r="M582" s="32">
        <v>0.36</v>
      </c>
      <c r="N582" s="27" t="s">
        <v>33</v>
      </c>
      <c r="O582" s="27" t="s">
        <v>60</v>
      </c>
      <c r="P582" s="27" t="s">
        <v>640</v>
      </c>
      <c r="Q582" s="27" t="s">
        <v>1269</v>
      </c>
      <c r="R582" s="33">
        <v>87105</v>
      </c>
      <c r="S582" s="34">
        <v>42054</v>
      </c>
      <c r="T582" s="34">
        <v>42055</v>
      </c>
      <c r="U582" s="29">
        <v>9.5608000000000004</v>
      </c>
      <c r="V582" s="26">
        <v>5</v>
      </c>
      <c r="W582" s="29">
        <v>31.64</v>
      </c>
      <c r="X582" s="26">
        <v>87234</v>
      </c>
      <c r="Y582" s="35">
        <v>35.89</v>
      </c>
      <c r="Z582" s="1" t="s">
        <v>3013</v>
      </c>
      <c r="AA582" s="36">
        <v>0</v>
      </c>
      <c r="AB582" s="54">
        <v>20.249600000000001</v>
      </c>
      <c r="AC582" s="54">
        <v>2.2780800000000001</v>
      </c>
      <c r="AD582" s="36">
        <v>19.5792</v>
      </c>
    </row>
    <row r="583" spans="1:30" s="37" customFormat="1" ht="15.75" customHeight="1" x14ac:dyDescent="0.2">
      <c r="A583" s="26">
        <v>1485</v>
      </c>
      <c r="B583" s="27" t="s">
        <v>1282</v>
      </c>
      <c r="C583" s="27" t="s">
        <v>3094</v>
      </c>
      <c r="D583" s="28">
        <v>0.05</v>
      </c>
      <c r="E583" s="29">
        <v>225.02</v>
      </c>
      <c r="F583" s="29">
        <v>28.66</v>
      </c>
      <c r="G583" s="30" t="s">
        <v>27</v>
      </c>
      <c r="H583" s="27" t="s">
        <v>71</v>
      </c>
      <c r="I583" s="27" t="s">
        <v>49</v>
      </c>
      <c r="J583" s="27" t="s">
        <v>78</v>
      </c>
      <c r="K583" s="27" t="s">
        <v>58</v>
      </c>
      <c r="L583" s="31" t="s">
        <v>1286</v>
      </c>
      <c r="M583" s="32">
        <v>0.72</v>
      </c>
      <c r="N583" s="27" t="s">
        <v>33</v>
      </c>
      <c r="O583" s="27" t="s">
        <v>53</v>
      </c>
      <c r="P583" s="27" t="s">
        <v>103</v>
      </c>
      <c r="Q583" s="27" t="s">
        <v>1284</v>
      </c>
      <c r="R583" s="33">
        <v>60516</v>
      </c>
      <c r="S583" s="34">
        <v>42055</v>
      </c>
      <c r="T583" s="34">
        <v>42057</v>
      </c>
      <c r="U583" s="29">
        <v>1428.9104</v>
      </c>
      <c r="V583" s="26">
        <v>21</v>
      </c>
      <c r="W583" s="29">
        <v>4636.63</v>
      </c>
      <c r="X583" s="26">
        <v>91236</v>
      </c>
      <c r="Y583" s="35">
        <v>4.0299999999999994</v>
      </c>
      <c r="Z583" s="1" t="s">
        <v>3012</v>
      </c>
      <c r="AA583" s="36">
        <v>236.27100000000002</v>
      </c>
      <c r="AB583" s="54">
        <v>1298.2564000000002</v>
      </c>
      <c r="AC583" s="54">
        <v>158.97017142857143</v>
      </c>
      <c r="AD583" s="36">
        <v>2942.7885999999999</v>
      </c>
    </row>
    <row r="584" spans="1:30" s="37" customFormat="1" ht="15.75" customHeight="1" x14ac:dyDescent="0.2">
      <c r="A584" s="26">
        <v>2882</v>
      </c>
      <c r="B584" s="27" t="s">
        <v>671</v>
      </c>
      <c r="C584" s="27" t="s">
        <v>38</v>
      </c>
      <c r="D584" s="28">
        <v>0.02</v>
      </c>
      <c r="E584" s="29">
        <v>10.68</v>
      </c>
      <c r="F584" s="29">
        <v>13.04</v>
      </c>
      <c r="G584" s="30" t="s">
        <v>39</v>
      </c>
      <c r="H584" s="27" t="s">
        <v>40</v>
      </c>
      <c r="I584" s="27" t="s">
        <v>29</v>
      </c>
      <c r="J584" s="27" t="s">
        <v>126</v>
      </c>
      <c r="K584" s="27" t="s">
        <v>65</v>
      </c>
      <c r="L584" s="31" t="s">
        <v>1273</v>
      </c>
      <c r="M584" s="32">
        <v>0.6</v>
      </c>
      <c r="N584" s="27" t="s">
        <v>33</v>
      </c>
      <c r="O584" s="27" t="s">
        <v>34</v>
      </c>
      <c r="P584" s="27" t="s">
        <v>97</v>
      </c>
      <c r="Q584" s="27" t="s">
        <v>673</v>
      </c>
      <c r="R584" s="33">
        <v>28206</v>
      </c>
      <c r="S584" s="34">
        <v>42055</v>
      </c>
      <c r="T584" s="34">
        <v>42057</v>
      </c>
      <c r="U584" s="29">
        <v>-307.29649999999998</v>
      </c>
      <c r="V584" s="26">
        <v>31</v>
      </c>
      <c r="W584" s="29">
        <v>350.48</v>
      </c>
      <c r="X584" s="26">
        <v>55300</v>
      </c>
      <c r="Y584" s="35">
        <v>3.74</v>
      </c>
      <c r="Z584" s="1" t="s">
        <v>3011</v>
      </c>
      <c r="AA584" s="36">
        <v>6.6216000000000008</v>
      </c>
      <c r="AB584" s="54">
        <v>140.19200000000001</v>
      </c>
      <c r="AC584" s="54">
        <v>6.7834838709677419</v>
      </c>
      <c r="AD584" s="36">
        <v>638.11490000000003</v>
      </c>
    </row>
    <row r="585" spans="1:30" s="37" customFormat="1" ht="15.75" customHeight="1" x14ac:dyDescent="0.2">
      <c r="A585" s="26">
        <v>2882</v>
      </c>
      <c r="B585" s="27" t="s">
        <v>671</v>
      </c>
      <c r="C585" s="27" t="s">
        <v>38</v>
      </c>
      <c r="D585" s="28">
        <v>0.01</v>
      </c>
      <c r="E585" s="29">
        <v>3.75</v>
      </c>
      <c r="F585" s="29">
        <v>0.5</v>
      </c>
      <c r="G585" s="30" t="s">
        <v>39</v>
      </c>
      <c r="H585" s="27" t="s">
        <v>40</v>
      </c>
      <c r="I585" s="27" t="s">
        <v>49</v>
      </c>
      <c r="J585" s="27" t="s">
        <v>152</v>
      </c>
      <c r="K585" s="27" t="s">
        <v>73</v>
      </c>
      <c r="L585" s="31" t="s">
        <v>1272</v>
      </c>
      <c r="M585" s="32">
        <v>0.37</v>
      </c>
      <c r="N585" s="27" t="s">
        <v>33</v>
      </c>
      <c r="O585" s="27" t="s">
        <v>34</v>
      </c>
      <c r="P585" s="27" t="s">
        <v>97</v>
      </c>
      <c r="Q585" s="27" t="s">
        <v>673</v>
      </c>
      <c r="R585" s="33">
        <v>28206</v>
      </c>
      <c r="S585" s="34">
        <v>42055</v>
      </c>
      <c r="T585" s="34">
        <v>42056</v>
      </c>
      <c r="U585" s="29">
        <v>55.194600000000001</v>
      </c>
      <c r="V585" s="26">
        <v>48</v>
      </c>
      <c r="W585" s="29">
        <v>180.48</v>
      </c>
      <c r="X585" s="26">
        <v>55300</v>
      </c>
      <c r="Y585" s="35">
        <v>10.66</v>
      </c>
      <c r="Z585" s="1" t="s">
        <v>3011</v>
      </c>
      <c r="AA585" s="36">
        <v>1.7999999999999998</v>
      </c>
      <c r="AB585" s="54">
        <v>113.7024</v>
      </c>
      <c r="AC585" s="54">
        <v>1.3912</v>
      </c>
      <c r="AD585" s="36">
        <v>122.9854</v>
      </c>
    </row>
    <row r="586" spans="1:30" s="37" customFormat="1" ht="15.75" customHeight="1" x14ac:dyDescent="0.2">
      <c r="A586" s="26">
        <v>2882</v>
      </c>
      <c r="B586" s="27" t="s">
        <v>671</v>
      </c>
      <c r="C586" s="27" t="s">
        <v>38</v>
      </c>
      <c r="D586" s="28">
        <v>0.03</v>
      </c>
      <c r="E586" s="29">
        <v>4.0599999999999996</v>
      </c>
      <c r="F586" s="29">
        <v>6.89</v>
      </c>
      <c r="G586" s="30" t="s">
        <v>39</v>
      </c>
      <c r="H586" s="27" t="s">
        <v>40</v>
      </c>
      <c r="I586" s="27" t="s">
        <v>49</v>
      </c>
      <c r="J586" s="27" t="s">
        <v>95</v>
      </c>
      <c r="K586" s="27" t="s">
        <v>73</v>
      </c>
      <c r="L586" s="31" t="s">
        <v>1271</v>
      </c>
      <c r="M586" s="32">
        <v>0.6</v>
      </c>
      <c r="N586" s="27" t="s">
        <v>33</v>
      </c>
      <c r="O586" s="27" t="s">
        <v>34</v>
      </c>
      <c r="P586" s="27" t="s">
        <v>97</v>
      </c>
      <c r="Q586" s="27" t="s">
        <v>673</v>
      </c>
      <c r="R586" s="33">
        <v>28206</v>
      </c>
      <c r="S586" s="34">
        <v>42055</v>
      </c>
      <c r="T586" s="34">
        <v>42057</v>
      </c>
      <c r="U586" s="29">
        <v>-246.27610000000001</v>
      </c>
      <c r="V586" s="26">
        <v>37</v>
      </c>
      <c r="W586" s="29">
        <v>159.88999999999999</v>
      </c>
      <c r="X586" s="26">
        <v>55300</v>
      </c>
      <c r="Y586" s="35">
        <v>4.0299999999999994</v>
      </c>
      <c r="Z586" s="1" t="s">
        <v>3011</v>
      </c>
      <c r="AA586" s="36">
        <v>4.5065999999999988</v>
      </c>
      <c r="AB586" s="54">
        <v>63.955999999999996</v>
      </c>
      <c r="AC586" s="54">
        <v>2.5928108108108101</v>
      </c>
      <c r="AD586" s="36">
        <v>394.76949999999999</v>
      </c>
    </row>
    <row r="587" spans="1:30" s="37" customFormat="1" ht="15.75" customHeight="1" x14ac:dyDescent="0.2">
      <c r="A587" s="26">
        <v>1485</v>
      </c>
      <c r="B587" s="27" t="s">
        <v>1282</v>
      </c>
      <c r="C587" s="27" t="s">
        <v>3094</v>
      </c>
      <c r="D587" s="28">
        <v>0.04</v>
      </c>
      <c r="E587" s="29">
        <v>11.5</v>
      </c>
      <c r="F587" s="29">
        <v>7.19</v>
      </c>
      <c r="G587" s="30" t="s">
        <v>39</v>
      </c>
      <c r="H587" s="27" t="s">
        <v>71</v>
      </c>
      <c r="I587" s="27" t="s">
        <v>49</v>
      </c>
      <c r="J587" s="27" t="s">
        <v>72</v>
      </c>
      <c r="K587" s="27" t="s">
        <v>73</v>
      </c>
      <c r="L587" s="31" t="s">
        <v>1283</v>
      </c>
      <c r="M587" s="32">
        <v>0.4</v>
      </c>
      <c r="N587" s="27" t="s">
        <v>33</v>
      </c>
      <c r="O587" s="27" t="s">
        <v>53</v>
      </c>
      <c r="P587" s="27" t="s">
        <v>103</v>
      </c>
      <c r="Q587" s="27" t="s">
        <v>1284</v>
      </c>
      <c r="R587" s="33">
        <v>60516</v>
      </c>
      <c r="S587" s="34">
        <v>42055</v>
      </c>
      <c r="T587" s="34">
        <v>42058</v>
      </c>
      <c r="U587" s="29">
        <v>-23.357880000000002</v>
      </c>
      <c r="V587" s="26">
        <v>14</v>
      </c>
      <c r="W587" s="29">
        <v>157.81</v>
      </c>
      <c r="X587" s="26">
        <v>91236</v>
      </c>
      <c r="Y587" s="35">
        <v>3.74</v>
      </c>
      <c r="Z587" s="1" t="s">
        <v>3012</v>
      </c>
      <c r="AA587" s="36">
        <v>6.44</v>
      </c>
      <c r="AB587" s="54">
        <v>94.685999999999993</v>
      </c>
      <c r="AC587" s="54">
        <v>4.5088571428571429</v>
      </c>
      <c r="AD587" s="36">
        <v>167.53788</v>
      </c>
    </row>
    <row r="588" spans="1:30" s="37" customFormat="1" ht="15.75" customHeight="1" x14ac:dyDescent="0.2">
      <c r="A588" s="26">
        <v>233</v>
      </c>
      <c r="B588" s="27" t="s">
        <v>1279</v>
      </c>
      <c r="C588" s="27" t="s">
        <v>116</v>
      </c>
      <c r="D588" s="28">
        <v>0.04</v>
      </c>
      <c r="E588" s="29">
        <v>9.65</v>
      </c>
      <c r="F588" s="29">
        <v>6.22</v>
      </c>
      <c r="G588" s="30" t="s">
        <v>39</v>
      </c>
      <c r="H588" s="27" t="s">
        <v>3095</v>
      </c>
      <c r="I588" s="27" t="s">
        <v>29</v>
      </c>
      <c r="J588" s="27" t="s">
        <v>126</v>
      </c>
      <c r="K588" s="27" t="s">
        <v>73</v>
      </c>
      <c r="L588" s="31" t="s">
        <v>1281</v>
      </c>
      <c r="M588" s="32">
        <v>0.55000000000000004</v>
      </c>
      <c r="N588" s="27" t="s">
        <v>33</v>
      </c>
      <c r="O588" s="27" t="s">
        <v>53</v>
      </c>
      <c r="P588" s="27" t="s">
        <v>103</v>
      </c>
      <c r="Q588" s="27" t="s">
        <v>1280</v>
      </c>
      <c r="R588" s="33">
        <v>60462</v>
      </c>
      <c r="S588" s="34">
        <v>42055</v>
      </c>
      <c r="T588" s="34">
        <v>42056</v>
      </c>
      <c r="U588" s="29">
        <v>-53.62</v>
      </c>
      <c r="V588" s="26">
        <v>12</v>
      </c>
      <c r="W588" s="29">
        <v>120.47</v>
      </c>
      <c r="X588" s="26">
        <v>90237</v>
      </c>
      <c r="Y588" s="35">
        <v>10.66</v>
      </c>
      <c r="Z588" s="1" t="s">
        <v>3012</v>
      </c>
      <c r="AA588" s="36">
        <v>4.6319999999999997</v>
      </c>
      <c r="AB588" s="54">
        <v>54.211499999999994</v>
      </c>
      <c r="AC588" s="54">
        <v>5.5215416666666668</v>
      </c>
      <c r="AD588" s="36">
        <v>163.238</v>
      </c>
    </row>
    <row r="589" spans="1:30" s="37" customFormat="1" ht="15.75" customHeight="1" x14ac:dyDescent="0.2">
      <c r="A589" s="26">
        <v>3284</v>
      </c>
      <c r="B589" s="27" t="s">
        <v>1276</v>
      </c>
      <c r="C589" s="27" t="s">
        <v>38</v>
      </c>
      <c r="D589" s="28">
        <v>0.05</v>
      </c>
      <c r="E589" s="29">
        <v>19.23</v>
      </c>
      <c r="F589" s="29">
        <v>6.15</v>
      </c>
      <c r="G589" s="30" t="s">
        <v>87</v>
      </c>
      <c r="H589" s="27" t="s">
        <v>94</v>
      </c>
      <c r="I589" s="27" t="s">
        <v>29</v>
      </c>
      <c r="J589" s="27" t="s">
        <v>126</v>
      </c>
      <c r="K589" s="27" t="s">
        <v>43</v>
      </c>
      <c r="L589" s="31" t="s">
        <v>1277</v>
      </c>
      <c r="M589" s="32">
        <v>0.44</v>
      </c>
      <c r="N589" s="27" t="s">
        <v>33</v>
      </c>
      <c r="O589" s="27" t="s">
        <v>34</v>
      </c>
      <c r="P589" s="27" t="s">
        <v>123</v>
      </c>
      <c r="Q589" s="27" t="s">
        <v>1278</v>
      </c>
      <c r="R589" s="33">
        <v>34741</v>
      </c>
      <c r="S589" s="34">
        <v>42055</v>
      </c>
      <c r="T589" s="34">
        <v>42057</v>
      </c>
      <c r="U589" s="29">
        <v>-2133.2779999999998</v>
      </c>
      <c r="V589" s="26">
        <v>6</v>
      </c>
      <c r="W589" s="29">
        <v>119.78</v>
      </c>
      <c r="X589" s="26">
        <v>90751</v>
      </c>
      <c r="Y589" s="35">
        <v>19.18</v>
      </c>
      <c r="Z589" s="1" t="s">
        <v>3011</v>
      </c>
      <c r="AA589" s="36">
        <v>5.7690000000000001</v>
      </c>
      <c r="AB589" s="54">
        <v>67.076800000000006</v>
      </c>
      <c r="AC589" s="54">
        <v>8.7838666666666665</v>
      </c>
      <c r="AD589" s="36">
        <v>2241.1390000000001</v>
      </c>
    </row>
    <row r="590" spans="1:30" s="37" customFormat="1" ht="15.75" customHeight="1" x14ac:dyDescent="0.2">
      <c r="A590" s="26">
        <v>2886</v>
      </c>
      <c r="B590" s="27" t="s">
        <v>1274</v>
      </c>
      <c r="C590" s="27" t="s">
        <v>38</v>
      </c>
      <c r="D590" s="28">
        <v>0.02</v>
      </c>
      <c r="E590" s="29">
        <v>10.68</v>
      </c>
      <c r="F590" s="29">
        <v>13.04</v>
      </c>
      <c r="G590" s="30" t="s">
        <v>39</v>
      </c>
      <c r="H590" s="27" t="s">
        <v>40</v>
      </c>
      <c r="I590" s="27" t="s">
        <v>29</v>
      </c>
      <c r="J590" s="27" t="s">
        <v>126</v>
      </c>
      <c r="K590" s="27" t="s">
        <v>65</v>
      </c>
      <c r="L590" s="31" t="s">
        <v>1273</v>
      </c>
      <c r="M590" s="32">
        <v>0.6</v>
      </c>
      <c r="N590" s="27" t="s">
        <v>33</v>
      </c>
      <c r="O590" s="27" t="s">
        <v>111</v>
      </c>
      <c r="P590" s="27" t="s">
        <v>317</v>
      </c>
      <c r="Q590" s="27" t="s">
        <v>1275</v>
      </c>
      <c r="R590" s="33">
        <v>44134</v>
      </c>
      <c r="S590" s="34">
        <v>42055</v>
      </c>
      <c r="T590" s="34">
        <v>42057</v>
      </c>
      <c r="U590" s="29">
        <v>-231.05</v>
      </c>
      <c r="V590" s="26">
        <v>8</v>
      </c>
      <c r="W590" s="29">
        <v>90.45</v>
      </c>
      <c r="X590" s="26">
        <v>87630</v>
      </c>
      <c r="Y590" s="35">
        <v>5.7399999999999993</v>
      </c>
      <c r="Z590" s="1" t="s">
        <v>3014</v>
      </c>
      <c r="AA590" s="36">
        <v>1.7088000000000001</v>
      </c>
      <c r="AB590" s="54">
        <v>36.18</v>
      </c>
      <c r="AC590" s="54">
        <v>6.7837500000000004</v>
      </c>
      <c r="AD590" s="36">
        <v>306.75120000000004</v>
      </c>
    </row>
    <row r="591" spans="1:30" s="37" customFormat="1" ht="15.75" customHeight="1" x14ac:dyDescent="0.2">
      <c r="A591" s="26">
        <v>233</v>
      </c>
      <c r="B591" s="27" t="s">
        <v>1279</v>
      </c>
      <c r="C591" s="27" t="s">
        <v>116</v>
      </c>
      <c r="D591" s="28">
        <v>7.0000000000000007E-2</v>
      </c>
      <c r="E591" s="29">
        <v>5.81</v>
      </c>
      <c r="F591" s="29">
        <v>8.49</v>
      </c>
      <c r="G591" s="30" t="s">
        <v>39</v>
      </c>
      <c r="H591" s="27" t="s">
        <v>3095</v>
      </c>
      <c r="I591" s="27" t="s">
        <v>49</v>
      </c>
      <c r="J591" s="27" t="s">
        <v>72</v>
      </c>
      <c r="K591" s="27" t="s">
        <v>73</v>
      </c>
      <c r="L591" s="31" t="s">
        <v>330</v>
      </c>
      <c r="M591" s="32">
        <v>0.39</v>
      </c>
      <c r="N591" s="27" t="s">
        <v>33</v>
      </c>
      <c r="O591" s="27" t="s">
        <v>53</v>
      </c>
      <c r="P591" s="27" t="s">
        <v>103</v>
      </c>
      <c r="Q591" s="27" t="s">
        <v>1280</v>
      </c>
      <c r="R591" s="33">
        <v>60462</v>
      </c>
      <c r="S591" s="34">
        <v>42055</v>
      </c>
      <c r="T591" s="34">
        <v>42057</v>
      </c>
      <c r="U591" s="29">
        <v>-243.23650000000001</v>
      </c>
      <c r="V591" s="26">
        <v>10</v>
      </c>
      <c r="W591" s="29">
        <v>58.8</v>
      </c>
      <c r="X591" s="26">
        <v>90237</v>
      </c>
      <c r="Y591" s="35">
        <v>9.6100000000000012</v>
      </c>
      <c r="Z591" s="1" t="s">
        <v>3012</v>
      </c>
      <c r="AA591" s="36">
        <v>4.0670000000000002</v>
      </c>
      <c r="AB591" s="54">
        <v>35.867999999999995</v>
      </c>
      <c r="AC591" s="54">
        <v>2.2932000000000001</v>
      </c>
      <c r="AD591" s="36">
        <v>289.47949999999997</v>
      </c>
    </row>
    <row r="592" spans="1:30" s="37" customFormat="1" ht="15.75" customHeight="1" x14ac:dyDescent="0.2">
      <c r="A592" s="26">
        <v>2886</v>
      </c>
      <c r="B592" s="27" t="s">
        <v>1274</v>
      </c>
      <c r="C592" s="27" t="s">
        <v>38</v>
      </c>
      <c r="D592" s="28">
        <v>0.01</v>
      </c>
      <c r="E592" s="29">
        <v>3.75</v>
      </c>
      <c r="F592" s="29">
        <v>0.5</v>
      </c>
      <c r="G592" s="30" t="s">
        <v>39</v>
      </c>
      <c r="H592" s="27" t="s">
        <v>40</v>
      </c>
      <c r="I592" s="27" t="s">
        <v>49</v>
      </c>
      <c r="J592" s="27" t="s">
        <v>152</v>
      </c>
      <c r="K592" s="27" t="s">
        <v>73</v>
      </c>
      <c r="L592" s="31" t="s">
        <v>1272</v>
      </c>
      <c r="M592" s="32">
        <v>0.37</v>
      </c>
      <c r="N592" s="27" t="s">
        <v>33</v>
      </c>
      <c r="O592" s="27" t="s">
        <v>111</v>
      </c>
      <c r="P592" s="27" t="s">
        <v>317</v>
      </c>
      <c r="Q592" s="27" t="s">
        <v>1275</v>
      </c>
      <c r="R592" s="33">
        <v>44134</v>
      </c>
      <c r="S592" s="34">
        <v>42055</v>
      </c>
      <c r="T592" s="34">
        <v>42056</v>
      </c>
      <c r="U592" s="29">
        <v>31.1328</v>
      </c>
      <c r="V592" s="26">
        <v>12</v>
      </c>
      <c r="W592" s="29">
        <v>45.12</v>
      </c>
      <c r="X592" s="26">
        <v>87630</v>
      </c>
      <c r="Y592" s="35">
        <v>11.46</v>
      </c>
      <c r="Z592" s="1" t="s">
        <v>3014</v>
      </c>
      <c r="AA592" s="36">
        <v>0.44999999999999996</v>
      </c>
      <c r="AB592" s="54">
        <v>28.425599999999999</v>
      </c>
      <c r="AC592" s="54">
        <v>1.3912</v>
      </c>
      <c r="AD592" s="36">
        <v>13.037199999999999</v>
      </c>
    </row>
    <row r="593" spans="1:30" s="37" customFormat="1" ht="15.75" customHeight="1" x14ac:dyDescent="0.2">
      <c r="A593" s="26">
        <v>2886</v>
      </c>
      <c r="B593" s="27" t="s">
        <v>1274</v>
      </c>
      <c r="C593" s="27" t="s">
        <v>38</v>
      </c>
      <c r="D593" s="28">
        <v>0.03</v>
      </c>
      <c r="E593" s="29">
        <v>4.0599999999999996</v>
      </c>
      <c r="F593" s="29">
        <v>6.89</v>
      </c>
      <c r="G593" s="30" t="s">
        <v>39</v>
      </c>
      <c r="H593" s="27" t="s">
        <v>40</v>
      </c>
      <c r="I593" s="27" t="s">
        <v>49</v>
      </c>
      <c r="J593" s="27" t="s">
        <v>95</v>
      </c>
      <c r="K593" s="27" t="s">
        <v>73</v>
      </c>
      <c r="L593" s="31" t="s">
        <v>1271</v>
      </c>
      <c r="M593" s="32">
        <v>0.6</v>
      </c>
      <c r="N593" s="27" t="s">
        <v>33</v>
      </c>
      <c r="O593" s="27" t="s">
        <v>111</v>
      </c>
      <c r="P593" s="27" t="s">
        <v>317</v>
      </c>
      <c r="Q593" s="27" t="s">
        <v>1275</v>
      </c>
      <c r="R593" s="33">
        <v>44134</v>
      </c>
      <c r="S593" s="34">
        <v>42055</v>
      </c>
      <c r="T593" s="34">
        <v>42057</v>
      </c>
      <c r="U593" s="29">
        <v>-185.17</v>
      </c>
      <c r="V593" s="26">
        <v>9</v>
      </c>
      <c r="W593" s="29">
        <v>38.89</v>
      </c>
      <c r="X593" s="26">
        <v>87630</v>
      </c>
      <c r="Y593" s="35">
        <v>15.68</v>
      </c>
      <c r="Z593" s="1" t="s">
        <v>3014</v>
      </c>
      <c r="AA593" s="36">
        <v>1.0961999999999998</v>
      </c>
      <c r="AB593" s="54">
        <v>15.556000000000001</v>
      </c>
      <c r="AC593" s="54">
        <v>2.5926666666666667</v>
      </c>
      <c r="AD593" s="36">
        <v>216.07380000000001</v>
      </c>
    </row>
    <row r="594" spans="1:30" s="37" customFormat="1" ht="15.75" customHeight="1" x14ac:dyDescent="0.2">
      <c r="A594" s="26">
        <v>1485</v>
      </c>
      <c r="B594" s="27" t="s">
        <v>1282</v>
      </c>
      <c r="C594" s="27" t="s">
        <v>3094</v>
      </c>
      <c r="D594" s="28">
        <v>0.02</v>
      </c>
      <c r="E594" s="29">
        <v>15.7</v>
      </c>
      <c r="F594" s="29">
        <v>11.25</v>
      </c>
      <c r="G594" s="30" t="s">
        <v>39</v>
      </c>
      <c r="H594" s="27" t="s">
        <v>71</v>
      </c>
      <c r="I594" s="27" t="s">
        <v>49</v>
      </c>
      <c r="J594" s="27" t="s">
        <v>78</v>
      </c>
      <c r="K594" s="27" t="s">
        <v>73</v>
      </c>
      <c r="L594" s="31" t="s">
        <v>1285</v>
      </c>
      <c r="M594" s="32">
        <v>0.6</v>
      </c>
      <c r="N594" s="27" t="s">
        <v>33</v>
      </c>
      <c r="O594" s="27" t="s">
        <v>53</v>
      </c>
      <c r="P594" s="27" t="s">
        <v>103</v>
      </c>
      <c r="Q594" s="27" t="s">
        <v>1284</v>
      </c>
      <c r="R594" s="33">
        <v>60516</v>
      </c>
      <c r="S594" s="34">
        <v>42055</v>
      </c>
      <c r="T594" s="34">
        <v>42056</v>
      </c>
      <c r="U594" s="29">
        <v>-18.241599999999998</v>
      </c>
      <c r="V594" s="26">
        <v>1</v>
      </c>
      <c r="W594" s="29">
        <v>19.440000000000001</v>
      </c>
      <c r="X594" s="26">
        <v>91236</v>
      </c>
      <c r="Y594" s="35">
        <v>224.97</v>
      </c>
      <c r="Z594" s="1" t="s">
        <v>3012</v>
      </c>
      <c r="AA594" s="36">
        <v>0.314</v>
      </c>
      <c r="AB594" s="54">
        <v>7.7760000000000007</v>
      </c>
      <c r="AC594" s="54">
        <v>11.664</v>
      </c>
      <c r="AD594" s="36">
        <v>26.117599999999999</v>
      </c>
    </row>
    <row r="595" spans="1:30" s="37" customFormat="1" ht="15.75" customHeight="1" x14ac:dyDescent="0.2">
      <c r="A595" s="26">
        <v>553</v>
      </c>
      <c r="B595" s="27" t="s">
        <v>851</v>
      </c>
      <c r="C595" s="27" t="s">
        <v>3094</v>
      </c>
      <c r="D595" s="28">
        <v>7.0000000000000007E-2</v>
      </c>
      <c r="E595" s="29">
        <v>2036.48</v>
      </c>
      <c r="F595" s="29">
        <v>14.7</v>
      </c>
      <c r="G595" s="30" t="s">
        <v>27</v>
      </c>
      <c r="H595" s="27" t="s">
        <v>94</v>
      </c>
      <c r="I595" s="27" t="s">
        <v>41</v>
      </c>
      <c r="J595" s="27" t="s">
        <v>57</v>
      </c>
      <c r="K595" s="27" t="s">
        <v>58</v>
      </c>
      <c r="L595" s="31" t="s">
        <v>59</v>
      </c>
      <c r="M595" s="32">
        <v>0.55000000000000004</v>
      </c>
      <c r="N595" s="27" t="s">
        <v>33</v>
      </c>
      <c r="O595" s="27" t="s">
        <v>60</v>
      </c>
      <c r="P595" s="27" t="s">
        <v>90</v>
      </c>
      <c r="Q595" s="27" t="s">
        <v>100</v>
      </c>
      <c r="R595" s="33">
        <v>90008</v>
      </c>
      <c r="S595" s="34">
        <v>42056</v>
      </c>
      <c r="T595" s="34">
        <v>42056</v>
      </c>
      <c r="U595" s="29">
        <v>4073.25</v>
      </c>
      <c r="V595" s="26">
        <v>25</v>
      </c>
      <c r="W595" s="29">
        <v>43046.2</v>
      </c>
      <c r="X595" s="26">
        <v>2433</v>
      </c>
      <c r="Y595" s="35">
        <v>49.97</v>
      </c>
      <c r="Z595" s="1" t="s">
        <v>3013</v>
      </c>
      <c r="AA595" s="36">
        <v>3563.8400000000006</v>
      </c>
      <c r="AB595" s="54">
        <v>19370.789999999997</v>
      </c>
      <c r="AC595" s="54">
        <v>947.01640000000009</v>
      </c>
      <c r="AD595" s="36">
        <v>35394.409999999996</v>
      </c>
    </row>
    <row r="596" spans="1:30" s="37" customFormat="1" ht="15.75" customHeight="1" x14ac:dyDescent="0.2">
      <c r="A596" s="26">
        <v>555</v>
      </c>
      <c r="B596" s="27" t="s">
        <v>1300</v>
      </c>
      <c r="C596" s="27" t="s">
        <v>3094</v>
      </c>
      <c r="D596" s="28">
        <v>7.0000000000000007E-2</v>
      </c>
      <c r="E596" s="29">
        <v>2036.48</v>
      </c>
      <c r="F596" s="29">
        <v>14.7</v>
      </c>
      <c r="G596" s="30" t="s">
        <v>27</v>
      </c>
      <c r="H596" s="27" t="s">
        <v>94</v>
      </c>
      <c r="I596" s="27" t="s">
        <v>41</v>
      </c>
      <c r="J596" s="27" t="s">
        <v>57</v>
      </c>
      <c r="K596" s="27" t="s">
        <v>58</v>
      </c>
      <c r="L596" s="31" t="s">
        <v>59</v>
      </c>
      <c r="M596" s="32">
        <v>0.55000000000000004</v>
      </c>
      <c r="N596" s="27" t="s">
        <v>33</v>
      </c>
      <c r="O596" s="27" t="s">
        <v>60</v>
      </c>
      <c r="P596" s="27" t="s">
        <v>146</v>
      </c>
      <c r="Q596" s="27" t="s">
        <v>1301</v>
      </c>
      <c r="R596" s="33">
        <v>84062</v>
      </c>
      <c r="S596" s="34">
        <v>42056</v>
      </c>
      <c r="T596" s="34">
        <v>42056</v>
      </c>
      <c r="U596" s="29">
        <v>6028.41</v>
      </c>
      <c r="V596" s="26">
        <v>6</v>
      </c>
      <c r="W596" s="29">
        <v>10331.09</v>
      </c>
      <c r="X596" s="26">
        <v>86190</v>
      </c>
      <c r="Y596" s="35">
        <v>49.97</v>
      </c>
      <c r="Z596" s="1" t="s">
        <v>3013</v>
      </c>
      <c r="AA596" s="36">
        <v>855.3216000000001</v>
      </c>
      <c r="AB596" s="54">
        <v>4648.9904999999999</v>
      </c>
      <c r="AC596" s="54">
        <v>947.01658333333341</v>
      </c>
      <c r="AD596" s="36">
        <v>3432.6584000000003</v>
      </c>
    </row>
    <row r="597" spans="1:30" s="37" customFormat="1" ht="15.75" customHeight="1" x14ac:dyDescent="0.2">
      <c r="A597" s="26">
        <v>2225</v>
      </c>
      <c r="B597" s="27" t="s">
        <v>1291</v>
      </c>
      <c r="C597" s="27" t="s">
        <v>26</v>
      </c>
      <c r="D597" s="28">
        <v>0</v>
      </c>
      <c r="E597" s="29">
        <v>100.89</v>
      </c>
      <c r="F597" s="29">
        <v>42</v>
      </c>
      <c r="G597" s="30" t="s">
        <v>27</v>
      </c>
      <c r="H597" s="27" t="s">
        <v>3095</v>
      </c>
      <c r="I597" s="27" t="s">
        <v>29</v>
      </c>
      <c r="J597" s="27" t="s">
        <v>109</v>
      </c>
      <c r="K597" s="27" t="s">
        <v>58</v>
      </c>
      <c r="L597" s="31" t="s">
        <v>1292</v>
      </c>
      <c r="M597" s="32">
        <v>0.61</v>
      </c>
      <c r="N597" s="27" t="s">
        <v>33</v>
      </c>
      <c r="O597" s="27" t="s">
        <v>60</v>
      </c>
      <c r="P597" s="27" t="s">
        <v>640</v>
      </c>
      <c r="Q597" s="27" t="s">
        <v>1293</v>
      </c>
      <c r="R597" s="33">
        <v>88240</v>
      </c>
      <c r="S597" s="34">
        <v>42056</v>
      </c>
      <c r="T597" s="34">
        <v>42057</v>
      </c>
      <c r="U597" s="29">
        <v>1500.12</v>
      </c>
      <c r="V597" s="26">
        <v>15</v>
      </c>
      <c r="W597" s="29">
        <v>1608.11</v>
      </c>
      <c r="X597" s="26">
        <v>89970</v>
      </c>
      <c r="Y597" s="35">
        <v>100.89</v>
      </c>
      <c r="Z597" s="1" t="s">
        <v>3013</v>
      </c>
      <c r="AA597" s="36">
        <v>0</v>
      </c>
      <c r="AB597" s="54">
        <v>627.16290000000004</v>
      </c>
      <c r="AC597" s="54">
        <v>65.396473333333333</v>
      </c>
      <c r="AD597" s="36">
        <v>65.990000000000009</v>
      </c>
    </row>
    <row r="598" spans="1:30" s="37" customFormat="1" ht="15.75" customHeight="1" x14ac:dyDescent="0.2">
      <c r="A598" s="26">
        <v>181</v>
      </c>
      <c r="B598" s="27" t="s">
        <v>1287</v>
      </c>
      <c r="C598" s="27" t="s">
        <v>26</v>
      </c>
      <c r="D598" s="28">
        <v>0.02</v>
      </c>
      <c r="E598" s="29">
        <v>49.99</v>
      </c>
      <c r="F598" s="29">
        <v>19.989999999999998</v>
      </c>
      <c r="G598" s="30" t="s">
        <v>39</v>
      </c>
      <c r="H598" s="27" t="s">
        <v>3095</v>
      </c>
      <c r="I598" s="27" t="s">
        <v>41</v>
      </c>
      <c r="J598" s="27" t="s">
        <v>42</v>
      </c>
      <c r="K598" s="27" t="s">
        <v>73</v>
      </c>
      <c r="L598" s="31" t="s">
        <v>1288</v>
      </c>
      <c r="M598" s="32">
        <v>0.41</v>
      </c>
      <c r="N598" s="27" t="s">
        <v>33</v>
      </c>
      <c r="O598" s="27" t="s">
        <v>60</v>
      </c>
      <c r="P598" s="27" t="s">
        <v>90</v>
      </c>
      <c r="Q598" s="27" t="s">
        <v>941</v>
      </c>
      <c r="R598" s="33">
        <v>94122</v>
      </c>
      <c r="S598" s="34">
        <v>42056</v>
      </c>
      <c r="T598" s="34">
        <v>42056</v>
      </c>
      <c r="U598" s="29">
        <v>-76.89</v>
      </c>
      <c r="V598" s="26">
        <v>18</v>
      </c>
      <c r="W598" s="29">
        <v>901.81</v>
      </c>
      <c r="X598" s="26">
        <v>38087</v>
      </c>
      <c r="Y598" s="35">
        <v>4.33</v>
      </c>
      <c r="Z598" s="1" t="s">
        <v>3013</v>
      </c>
      <c r="AA598" s="36">
        <v>17.996400000000001</v>
      </c>
      <c r="AB598" s="54">
        <v>532.06790000000001</v>
      </c>
      <c r="AC598" s="54">
        <v>20.541227777777774</v>
      </c>
      <c r="AD598" s="36">
        <v>940.71359999999993</v>
      </c>
    </row>
    <row r="599" spans="1:30" s="37" customFormat="1" ht="15.75" customHeight="1" x14ac:dyDescent="0.2">
      <c r="A599" s="26">
        <v>875</v>
      </c>
      <c r="B599" s="27" t="s">
        <v>1294</v>
      </c>
      <c r="C599" s="27" t="s">
        <v>38</v>
      </c>
      <c r="D599" s="28">
        <v>0.09</v>
      </c>
      <c r="E599" s="29">
        <v>155.99</v>
      </c>
      <c r="F599" s="29">
        <v>8.99</v>
      </c>
      <c r="G599" s="30" t="s">
        <v>39</v>
      </c>
      <c r="H599" s="27" t="s">
        <v>3095</v>
      </c>
      <c r="I599" s="27" t="s">
        <v>41</v>
      </c>
      <c r="J599" s="27" t="s">
        <v>135</v>
      </c>
      <c r="K599" s="27" t="s">
        <v>73</v>
      </c>
      <c r="L599" s="31" t="s">
        <v>1297</v>
      </c>
      <c r="M599" s="32">
        <v>0.57999999999999996</v>
      </c>
      <c r="N599" s="27" t="s">
        <v>33</v>
      </c>
      <c r="O599" s="27" t="s">
        <v>60</v>
      </c>
      <c r="P599" s="27" t="s">
        <v>146</v>
      </c>
      <c r="Q599" s="27" t="s">
        <v>1296</v>
      </c>
      <c r="R599" s="33">
        <v>84106</v>
      </c>
      <c r="S599" s="34">
        <v>42056</v>
      </c>
      <c r="T599" s="34">
        <v>42058</v>
      </c>
      <c r="U599" s="29">
        <v>-232.22056000000001</v>
      </c>
      <c r="V599" s="26">
        <v>4</v>
      </c>
      <c r="W599" s="29">
        <v>497.11</v>
      </c>
      <c r="X599" s="26">
        <v>89059</v>
      </c>
      <c r="Y599" s="35">
        <v>155.9</v>
      </c>
      <c r="Z599" s="1" t="s">
        <v>3013</v>
      </c>
      <c r="AA599" s="36">
        <v>56.156399999999998</v>
      </c>
      <c r="AB599" s="54">
        <v>208.78620000000004</v>
      </c>
      <c r="AC599" s="54">
        <v>72.080950000000001</v>
      </c>
      <c r="AD599" s="36">
        <v>664.18416000000002</v>
      </c>
    </row>
    <row r="600" spans="1:30" s="37" customFormat="1" ht="15.75" customHeight="1" x14ac:dyDescent="0.2">
      <c r="A600" s="26">
        <v>184</v>
      </c>
      <c r="B600" s="27" t="s">
        <v>1289</v>
      </c>
      <c r="C600" s="27" t="s">
        <v>26</v>
      </c>
      <c r="D600" s="28">
        <v>0.02</v>
      </c>
      <c r="E600" s="29">
        <v>49.99</v>
      </c>
      <c r="F600" s="29">
        <v>19.989999999999998</v>
      </c>
      <c r="G600" s="30" t="s">
        <v>39</v>
      </c>
      <c r="H600" s="27" t="s">
        <v>3095</v>
      </c>
      <c r="I600" s="27" t="s">
        <v>41</v>
      </c>
      <c r="J600" s="27" t="s">
        <v>42</v>
      </c>
      <c r="K600" s="27" t="s">
        <v>73</v>
      </c>
      <c r="L600" s="31" t="s">
        <v>1288</v>
      </c>
      <c r="M600" s="32">
        <v>0.41</v>
      </c>
      <c r="N600" s="27" t="s">
        <v>33</v>
      </c>
      <c r="O600" s="27" t="s">
        <v>111</v>
      </c>
      <c r="P600" s="27" t="s">
        <v>403</v>
      </c>
      <c r="Q600" s="27" t="s">
        <v>1290</v>
      </c>
      <c r="R600" s="33">
        <v>2474</v>
      </c>
      <c r="S600" s="34">
        <v>42056</v>
      </c>
      <c r="T600" s="34">
        <v>42056</v>
      </c>
      <c r="U600" s="29">
        <v>-76.89</v>
      </c>
      <c r="V600" s="26">
        <v>5</v>
      </c>
      <c r="W600" s="29">
        <v>250.5</v>
      </c>
      <c r="X600" s="26">
        <v>88360</v>
      </c>
      <c r="Y600" s="35">
        <v>4.8100000000000005</v>
      </c>
      <c r="Z600" s="1" t="s">
        <v>3014</v>
      </c>
      <c r="AA600" s="36">
        <v>4.9990000000000006</v>
      </c>
      <c r="AB600" s="54">
        <v>147.79500000000002</v>
      </c>
      <c r="AC600" s="54">
        <v>20.541</v>
      </c>
      <c r="AD600" s="36">
        <v>302.40100000000001</v>
      </c>
    </row>
    <row r="601" spans="1:30" s="37" customFormat="1" ht="15.75" customHeight="1" x14ac:dyDescent="0.2">
      <c r="A601" s="26">
        <v>875</v>
      </c>
      <c r="B601" s="27" t="s">
        <v>1294</v>
      </c>
      <c r="C601" s="27" t="s">
        <v>38</v>
      </c>
      <c r="D601" s="28">
        <v>0.04</v>
      </c>
      <c r="E601" s="29">
        <v>4.37</v>
      </c>
      <c r="F601" s="29">
        <v>5.15</v>
      </c>
      <c r="G601" s="30" t="s">
        <v>39</v>
      </c>
      <c r="H601" s="27" t="s">
        <v>3095</v>
      </c>
      <c r="I601" s="27" t="s">
        <v>49</v>
      </c>
      <c r="J601" s="27" t="s">
        <v>95</v>
      </c>
      <c r="K601" s="27" t="s">
        <v>73</v>
      </c>
      <c r="L601" s="31" t="s">
        <v>1295</v>
      </c>
      <c r="M601" s="32">
        <v>0.59</v>
      </c>
      <c r="N601" s="27" t="s">
        <v>33</v>
      </c>
      <c r="O601" s="27" t="s">
        <v>60</v>
      </c>
      <c r="P601" s="27" t="s">
        <v>146</v>
      </c>
      <c r="Q601" s="27" t="s">
        <v>1296</v>
      </c>
      <c r="R601" s="33">
        <v>84106</v>
      </c>
      <c r="S601" s="34">
        <v>42056</v>
      </c>
      <c r="T601" s="34">
        <v>42057</v>
      </c>
      <c r="U601" s="29">
        <v>-74.479600000000005</v>
      </c>
      <c r="V601" s="26">
        <v>18</v>
      </c>
      <c r="W601" s="29">
        <v>78.59</v>
      </c>
      <c r="X601" s="26">
        <v>89059</v>
      </c>
      <c r="Y601" s="35">
        <v>2036.41</v>
      </c>
      <c r="Z601" s="1" t="s">
        <v>3013</v>
      </c>
      <c r="AA601" s="36">
        <v>3.1464000000000003</v>
      </c>
      <c r="AB601" s="54">
        <v>32.221900000000005</v>
      </c>
      <c r="AC601" s="54">
        <v>2.5760055555555557</v>
      </c>
      <c r="AD601" s="36">
        <v>144.7732</v>
      </c>
    </row>
    <row r="602" spans="1:30" s="37" customFormat="1" ht="15.75" customHeight="1" x14ac:dyDescent="0.2">
      <c r="A602" s="26">
        <v>2472</v>
      </c>
      <c r="B602" s="27" t="s">
        <v>1298</v>
      </c>
      <c r="C602" s="27" t="s">
        <v>48</v>
      </c>
      <c r="D602" s="28">
        <v>0.1</v>
      </c>
      <c r="E602" s="29">
        <v>4.91</v>
      </c>
      <c r="F602" s="29">
        <v>0.5</v>
      </c>
      <c r="G602" s="30" t="s">
        <v>87</v>
      </c>
      <c r="H602" s="27" t="s">
        <v>71</v>
      </c>
      <c r="I602" s="27" t="s">
        <v>49</v>
      </c>
      <c r="J602" s="27" t="s">
        <v>152</v>
      </c>
      <c r="K602" s="27" t="s">
        <v>73</v>
      </c>
      <c r="L602" s="31" t="s">
        <v>973</v>
      </c>
      <c r="M602" s="32">
        <v>0.36</v>
      </c>
      <c r="N602" s="27" t="s">
        <v>33</v>
      </c>
      <c r="O602" s="27" t="s">
        <v>53</v>
      </c>
      <c r="P602" s="27" t="s">
        <v>103</v>
      </c>
      <c r="Q602" s="27" t="s">
        <v>1299</v>
      </c>
      <c r="R602" s="33">
        <v>60432</v>
      </c>
      <c r="S602" s="34">
        <v>42056</v>
      </c>
      <c r="T602" s="34">
        <v>42056</v>
      </c>
      <c r="U602" s="29">
        <v>35.279699999999998</v>
      </c>
      <c r="V602" s="26">
        <v>10</v>
      </c>
      <c r="W602" s="29">
        <v>51.13</v>
      </c>
      <c r="X602" s="26">
        <v>86514</v>
      </c>
      <c r="Y602" s="35">
        <v>2036.41</v>
      </c>
      <c r="Z602" s="1" t="s">
        <v>3012</v>
      </c>
      <c r="AA602" s="36">
        <v>4.91</v>
      </c>
      <c r="AB602" s="54">
        <v>32.723200000000006</v>
      </c>
      <c r="AC602" s="54">
        <v>1.8406800000000001</v>
      </c>
      <c r="AD602" s="36">
        <v>10.440300000000001</v>
      </c>
    </row>
    <row r="603" spans="1:30" s="37" customFormat="1" ht="15.75" customHeight="1" x14ac:dyDescent="0.2">
      <c r="A603" s="26">
        <v>236</v>
      </c>
      <c r="B603" s="27" t="s">
        <v>1311</v>
      </c>
      <c r="C603" s="27" t="s">
        <v>3094</v>
      </c>
      <c r="D603" s="28">
        <v>0</v>
      </c>
      <c r="E603" s="29">
        <v>442.14</v>
      </c>
      <c r="F603" s="29">
        <v>14.7</v>
      </c>
      <c r="G603" s="30" t="s">
        <v>27</v>
      </c>
      <c r="H603" s="27" t="s">
        <v>94</v>
      </c>
      <c r="I603" s="27" t="s">
        <v>41</v>
      </c>
      <c r="J603" s="27" t="s">
        <v>57</v>
      </c>
      <c r="K603" s="27" t="s">
        <v>58</v>
      </c>
      <c r="L603" s="31" t="s">
        <v>1312</v>
      </c>
      <c r="M603" s="32">
        <v>0.56000000000000005</v>
      </c>
      <c r="N603" s="27" t="s">
        <v>33</v>
      </c>
      <c r="O603" s="27" t="s">
        <v>60</v>
      </c>
      <c r="P603" s="27" t="s">
        <v>61</v>
      </c>
      <c r="Q603" s="27" t="s">
        <v>1313</v>
      </c>
      <c r="R603" s="33">
        <v>80027</v>
      </c>
      <c r="S603" s="34">
        <v>42057</v>
      </c>
      <c r="T603" s="34">
        <v>42057</v>
      </c>
      <c r="U603" s="29">
        <v>3294.8258999999998</v>
      </c>
      <c r="V603" s="26">
        <v>10</v>
      </c>
      <c r="W603" s="29">
        <v>4775.1099999999997</v>
      </c>
      <c r="X603" s="26">
        <v>86621</v>
      </c>
      <c r="Y603" s="35">
        <v>150.85999999999999</v>
      </c>
      <c r="Z603" s="1" t="s">
        <v>3013</v>
      </c>
      <c r="AA603" s="36">
        <v>0</v>
      </c>
      <c r="AB603" s="54">
        <v>2101.0483999999997</v>
      </c>
      <c r="AC603" s="54">
        <v>267.40616</v>
      </c>
      <c r="AD603" s="36">
        <v>1465.5841</v>
      </c>
    </row>
    <row r="604" spans="1:30" s="37" customFormat="1" ht="15.75" customHeight="1" x14ac:dyDescent="0.2">
      <c r="A604" s="26">
        <v>3136</v>
      </c>
      <c r="B604" s="27" t="s">
        <v>1302</v>
      </c>
      <c r="C604" s="27" t="s">
        <v>26</v>
      </c>
      <c r="D604" s="28">
        <v>0.03</v>
      </c>
      <c r="E604" s="29">
        <v>150.88999999999999</v>
      </c>
      <c r="F604" s="29">
        <v>60.2</v>
      </c>
      <c r="G604" s="30" t="s">
        <v>27</v>
      </c>
      <c r="H604" s="27" t="s">
        <v>40</v>
      </c>
      <c r="I604" s="27" t="s">
        <v>29</v>
      </c>
      <c r="J604" s="27" t="s">
        <v>109</v>
      </c>
      <c r="K604" s="27" t="s">
        <v>58</v>
      </c>
      <c r="L604" s="31" t="s">
        <v>1303</v>
      </c>
      <c r="M604" s="32">
        <v>0.77</v>
      </c>
      <c r="N604" s="27" t="s">
        <v>33</v>
      </c>
      <c r="O604" s="27" t="s">
        <v>111</v>
      </c>
      <c r="P604" s="27" t="s">
        <v>331</v>
      </c>
      <c r="Q604" s="27" t="s">
        <v>332</v>
      </c>
      <c r="R604" s="33">
        <v>4073</v>
      </c>
      <c r="S604" s="34">
        <v>42057</v>
      </c>
      <c r="T604" s="34">
        <v>42057</v>
      </c>
      <c r="U604" s="29">
        <v>-677.87199999999996</v>
      </c>
      <c r="V604" s="26">
        <v>23</v>
      </c>
      <c r="W604" s="29">
        <v>3596.03</v>
      </c>
      <c r="X604" s="26">
        <v>86791</v>
      </c>
      <c r="Y604" s="35">
        <v>34.910000000000004</v>
      </c>
      <c r="Z604" s="1" t="s">
        <v>3014</v>
      </c>
      <c r="AA604" s="36">
        <v>104.11409999999998</v>
      </c>
      <c r="AB604" s="54">
        <v>827.08690000000001</v>
      </c>
      <c r="AC604" s="54">
        <v>120.38883043478261</v>
      </c>
      <c r="AD604" s="36">
        <v>4109.5879000000004</v>
      </c>
    </row>
    <row r="605" spans="1:30" s="37" customFormat="1" ht="15.75" customHeight="1" x14ac:dyDescent="0.2">
      <c r="A605" s="26">
        <v>1991</v>
      </c>
      <c r="B605" s="27" t="s">
        <v>1308</v>
      </c>
      <c r="C605" s="27" t="s">
        <v>116</v>
      </c>
      <c r="D605" s="28">
        <v>0</v>
      </c>
      <c r="E605" s="29">
        <v>47.9</v>
      </c>
      <c r="F605" s="29">
        <v>5.86</v>
      </c>
      <c r="G605" s="30" t="s">
        <v>39</v>
      </c>
      <c r="H605" s="27" t="s">
        <v>71</v>
      </c>
      <c r="I605" s="27" t="s">
        <v>49</v>
      </c>
      <c r="J605" s="27" t="s">
        <v>88</v>
      </c>
      <c r="K605" s="27" t="s">
        <v>73</v>
      </c>
      <c r="L605" s="31" t="s">
        <v>1309</v>
      </c>
      <c r="M605" s="32">
        <v>0.37</v>
      </c>
      <c r="N605" s="27" t="s">
        <v>33</v>
      </c>
      <c r="O605" s="27" t="s">
        <v>60</v>
      </c>
      <c r="P605" s="27" t="s">
        <v>146</v>
      </c>
      <c r="Q605" s="27" t="s">
        <v>1310</v>
      </c>
      <c r="R605" s="33">
        <v>84118</v>
      </c>
      <c r="S605" s="34">
        <v>42057</v>
      </c>
      <c r="T605" s="34">
        <v>42059</v>
      </c>
      <c r="U605" s="29">
        <v>638.38109999999995</v>
      </c>
      <c r="V605" s="26">
        <v>18</v>
      </c>
      <c r="W605" s="29">
        <v>925.19</v>
      </c>
      <c r="X605" s="26">
        <v>90002</v>
      </c>
      <c r="Y605" s="35">
        <v>55.44</v>
      </c>
      <c r="Z605" s="1" t="s">
        <v>3013</v>
      </c>
      <c r="AA605" s="36">
        <v>0</v>
      </c>
      <c r="AB605" s="54">
        <v>582.86970000000008</v>
      </c>
      <c r="AC605" s="54">
        <v>19.017794444444444</v>
      </c>
      <c r="AD605" s="36">
        <v>280.94890000000009</v>
      </c>
    </row>
    <row r="606" spans="1:30" s="37" customFormat="1" ht="15.75" customHeight="1" x14ac:dyDescent="0.2">
      <c r="A606" s="26">
        <v>2968</v>
      </c>
      <c r="B606" s="27" t="s">
        <v>1319</v>
      </c>
      <c r="C606" s="27" t="s">
        <v>3094</v>
      </c>
      <c r="D606" s="28">
        <v>0.04</v>
      </c>
      <c r="E606" s="29">
        <v>150.97999999999999</v>
      </c>
      <c r="F606" s="29">
        <v>16.010000000000002</v>
      </c>
      <c r="G606" s="30" t="s">
        <v>27</v>
      </c>
      <c r="H606" s="27" t="s">
        <v>3095</v>
      </c>
      <c r="I606" s="27" t="s">
        <v>29</v>
      </c>
      <c r="J606" s="27" t="s">
        <v>30</v>
      </c>
      <c r="K606" s="27" t="s">
        <v>31</v>
      </c>
      <c r="L606" s="31" t="s">
        <v>1322</v>
      </c>
      <c r="M606" s="32">
        <v>0.7</v>
      </c>
      <c r="N606" s="27" t="s">
        <v>33</v>
      </c>
      <c r="O606" s="27" t="s">
        <v>34</v>
      </c>
      <c r="P606" s="27" t="s">
        <v>123</v>
      </c>
      <c r="Q606" s="27" t="s">
        <v>1321</v>
      </c>
      <c r="R606" s="33">
        <v>33021</v>
      </c>
      <c r="S606" s="34">
        <v>42057</v>
      </c>
      <c r="T606" s="34">
        <v>42058</v>
      </c>
      <c r="U606" s="29">
        <v>-125.86</v>
      </c>
      <c r="V606" s="26">
        <v>5</v>
      </c>
      <c r="W606" s="29">
        <v>731.38</v>
      </c>
      <c r="X606" s="26">
        <v>86085</v>
      </c>
      <c r="Y606" s="35">
        <v>47.9</v>
      </c>
      <c r="Z606" s="1" t="s">
        <v>3011</v>
      </c>
      <c r="AA606" s="36">
        <v>30.196000000000002</v>
      </c>
      <c r="AB606" s="54">
        <v>219.41400000000004</v>
      </c>
      <c r="AC606" s="54">
        <v>102.39320000000001</v>
      </c>
      <c r="AD606" s="36">
        <v>811.03399999999999</v>
      </c>
    </row>
    <row r="607" spans="1:30" s="37" customFormat="1" ht="15.75" customHeight="1" x14ac:dyDescent="0.2">
      <c r="A607" s="26">
        <v>1728</v>
      </c>
      <c r="B607" s="27" t="s">
        <v>1305</v>
      </c>
      <c r="C607" s="27" t="s">
        <v>38</v>
      </c>
      <c r="D607" s="28">
        <v>0.04</v>
      </c>
      <c r="E607" s="29">
        <v>55.48</v>
      </c>
      <c r="F607" s="29">
        <v>6.79</v>
      </c>
      <c r="G607" s="30" t="s">
        <v>39</v>
      </c>
      <c r="H607" s="27" t="s">
        <v>94</v>
      </c>
      <c r="I607" s="27" t="s">
        <v>49</v>
      </c>
      <c r="J607" s="27" t="s">
        <v>88</v>
      </c>
      <c r="K607" s="27" t="s">
        <v>73</v>
      </c>
      <c r="L607" s="31" t="s">
        <v>1306</v>
      </c>
      <c r="M607" s="32">
        <v>0.37</v>
      </c>
      <c r="N607" s="27" t="s">
        <v>33</v>
      </c>
      <c r="O607" s="27" t="s">
        <v>111</v>
      </c>
      <c r="P607" s="27" t="s">
        <v>317</v>
      </c>
      <c r="Q607" s="27" t="s">
        <v>1307</v>
      </c>
      <c r="R607" s="33">
        <v>45429</v>
      </c>
      <c r="S607" s="34">
        <v>42057</v>
      </c>
      <c r="T607" s="34">
        <v>42059</v>
      </c>
      <c r="U607" s="29">
        <v>376.88490000000002</v>
      </c>
      <c r="V607" s="26">
        <v>10</v>
      </c>
      <c r="W607" s="29">
        <v>546.21</v>
      </c>
      <c r="X607" s="26">
        <v>87195</v>
      </c>
      <c r="Y607" s="35">
        <v>442.14</v>
      </c>
      <c r="Z607" s="1" t="s">
        <v>3014</v>
      </c>
      <c r="AA607" s="36">
        <v>22.192</v>
      </c>
      <c r="AB607" s="54">
        <v>344.1123</v>
      </c>
      <c r="AC607" s="54">
        <v>20.209769999999999</v>
      </c>
      <c r="AD607" s="36">
        <v>140.34309999999999</v>
      </c>
    </row>
    <row r="608" spans="1:30" s="37" customFormat="1" ht="15.75" customHeight="1" x14ac:dyDescent="0.2">
      <c r="A608" s="26">
        <v>32</v>
      </c>
      <c r="B608" s="27" t="s">
        <v>644</v>
      </c>
      <c r="C608" s="27" t="s">
        <v>38</v>
      </c>
      <c r="D608" s="28">
        <v>0.08</v>
      </c>
      <c r="E608" s="29">
        <v>34.99</v>
      </c>
      <c r="F608" s="29">
        <v>7.73</v>
      </c>
      <c r="G608" s="30" t="s">
        <v>39</v>
      </c>
      <c r="H608" s="27" t="s">
        <v>94</v>
      </c>
      <c r="I608" s="27" t="s">
        <v>49</v>
      </c>
      <c r="J608" s="27" t="s">
        <v>50</v>
      </c>
      <c r="K608" s="27" t="s">
        <v>73</v>
      </c>
      <c r="L608" s="31" t="s">
        <v>1304</v>
      </c>
      <c r="M608" s="32">
        <v>0.59</v>
      </c>
      <c r="N608" s="27" t="s">
        <v>33</v>
      </c>
      <c r="O608" s="27" t="s">
        <v>60</v>
      </c>
      <c r="P608" s="27" t="s">
        <v>139</v>
      </c>
      <c r="Q608" s="27" t="s">
        <v>646</v>
      </c>
      <c r="R608" s="33">
        <v>97526</v>
      </c>
      <c r="S608" s="34">
        <v>42057</v>
      </c>
      <c r="T608" s="34">
        <v>42058</v>
      </c>
      <c r="U608" s="29">
        <v>144.69</v>
      </c>
      <c r="V608" s="26">
        <v>13</v>
      </c>
      <c r="W608" s="29">
        <v>424.68</v>
      </c>
      <c r="X608" s="26">
        <v>89199</v>
      </c>
      <c r="Y608" s="35">
        <v>5.17</v>
      </c>
      <c r="Z608" s="1" t="s">
        <v>3013</v>
      </c>
      <c r="AA608" s="36">
        <v>36.389600000000002</v>
      </c>
      <c r="AB608" s="54">
        <v>174.11880000000002</v>
      </c>
      <c r="AC608" s="54">
        <v>19.27393846153846</v>
      </c>
      <c r="AD608" s="36">
        <v>235.87040000000002</v>
      </c>
    </row>
    <row r="609" spans="1:30" s="37" customFormat="1" ht="15.75" customHeight="1" x14ac:dyDescent="0.2">
      <c r="A609" s="26">
        <v>2653</v>
      </c>
      <c r="B609" s="27" t="s">
        <v>1316</v>
      </c>
      <c r="C609" s="27" t="s">
        <v>3094</v>
      </c>
      <c r="D609" s="28">
        <v>0.02</v>
      </c>
      <c r="E609" s="29">
        <v>34.229999999999997</v>
      </c>
      <c r="F609" s="29">
        <v>5.0199999999999996</v>
      </c>
      <c r="G609" s="30" t="s">
        <v>39</v>
      </c>
      <c r="H609" s="27" t="s">
        <v>40</v>
      </c>
      <c r="I609" s="27" t="s">
        <v>29</v>
      </c>
      <c r="J609" s="27" t="s">
        <v>126</v>
      </c>
      <c r="K609" s="27" t="s">
        <v>73</v>
      </c>
      <c r="L609" s="31" t="s">
        <v>1318</v>
      </c>
      <c r="M609" s="32">
        <v>0.55000000000000004</v>
      </c>
      <c r="N609" s="27" t="s">
        <v>33</v>
      </c>
      <c r="O609" s="27" t="s">
        <v>53</v>
      </c>
      <c r="P609" s="27" t="s">
        <v>537</v>
      </c>
      <c r="Q609" s="27" t="s">
        <v>1317</v>
      </c>
      <c r="R609" s="33">
        <v>67037</v>
      </c>
      <c r="S609" s="34">
        <v>42057</v>
      </c>
      <c r="T609" s="34">
        <v>42059</v>
      </c>
      <c r="U609" s="29">
        <v>270.79050000000001</v>
      </c>
      <c r="V609" s="26">
        <v>11</v>
      </c>
      <c r="W609" s="29">
        <v>392.45</v>
      </c>
      <c r="X609" s="26">
        <v>89360</v>
      </c>
      <c r="Y609" s="35">
        <v>4.9300000000000006</v>
      </c>
      <c r="Z609" s="1" t="s">
        <v>3012</v>
      </c>
      <c r="AA609" s="36">
        <v>7.5305999999999997</v>
      </c>
      <c r="AB609" s="54">
        <v>176.60249999999996</v>
      </c>
      <c r="AC609" s="54">
        <v>19.622500000000002</v>
      </c>
      <c r="AD609" s="36">
        <v>109.10890000000001</v>
      </c>
    </row>
    <row r="610" spans="1:30" s="37" customFormat="1" ht="15.75" customHeight="1" x14ac:dyDescent="0.2">
      <c r="A610" s="26">
        <v>2653</v>
      </c>
      <c r="B610" s="27" t="s">
        <v>1316</v>
      </c>
      <c r="C610" s="27" t="s">
        <v>3094</v>
      </c>
      <c r="D610" s="28">
        <v>0.05</v>
      </c>
      <c r="E610" s="29">
        <v>4.9800000000000004</v>
      </c>
      <c r="F610" s="29">
        <v>4.62</v>
      </c>
      <c r="G610" s="30" t="s">
        <v>39</v>
      </c>
      <c r="H610" s="27" t="s">
        <v>40</v>
      </c>
      <c r="I610" s="27" t="s">
        <v>41</v>
      </c>
      <c r="J610" s="27" t="s">
        <v>42</v>
      </c>
      <c r="K610" s="27" t="s">
        <v>43</v>
      </c>
      <c r="L610" s="31" t="s">
        <v>1221</v>
      </c>
      <c r="M610" s="32">
        <v>0.64</v>
      </c>
      <c r="N610" s="27" t="s">
        <v>33</v>
      </c>
      <c r="O610" s="27" t="s">
        <v>53</v>
      </c>
      <c r="P610" s="27" t="s">
        <v>537</v>
      </c>
      <c r="Q610" s="27" t="s">
        <v>1317</v>
      </c>
      <c r="R610" s="33">
        <v>67037</v>
      </c>
      <c r="S610" s="34">
        <v>42057</v>
      </c>
      <c r="T610" s="34">
        <v>42058</v>
      </c>
      <c r="U610" s="29">
        <v>-98.35</v>
      </c>
      <c r="V610" s="26">
        <v>7</v>
      </c>
      <c r="W610" s="29">
        <v>34.32</v>
      </c>
      <c r="X610" s="26">
        <v>89360</v>
      </c>
      <c r="Y610" s="35">
        <v>34.209999999999994</v>
      </c>
      <c r="Z610" s="1" t="s">
        <v>3012</v>
      </c>
      <c r="AA610" s="36">
        <v>1.7430000000000001</v>
      </c>
      <c r="AB610" s="54">
        <v>12.3552</v>
      </c>
      <c r="AC610" s="54">
        <v>3.1378285714285714</v>
      </c>
      <c r="AD610" s="36">
        <v>126.30699999999999</v>
      </c>
    </row>
    <row r="611" spans="1:30" s="37" customFormat="1" ht="15.75" customHeight="1" x14ac:dyDescent="0.2">
      <c r="A611" s="26">
        <v>829</v>
      </c>
      <c r="B611" s="27" t="s">
        <v>1314</v>
      </c>
      <c r="C611" s="27" t="s">
        <v>3094</v>
      </c>
      <c r="D611" s="28">
        <v>0.01</v>
      </c>
      <c r="E611" s="29">
        <v>5.18</v>
      </c>
      <c r="F611" s="29">
        <v>2.04</v>
      </c>
      <c r="G611" s="30" t="s">
        <v>39</v>
      </c>
      <c r="H611" s="27" t="s">
        <v>94</v>
      </c>
      <c r="I611" s="27" t="s">
        <v>49</v>
      </c>
      <c r="J611" s="27" t="s">
        <v>88</v>
      </c>
      <c r="K611" s="27" t="s">
        <v>51</v>
      </c>
      <c r="L611" s="31" t="s">
        <v>833</v>
      </c>
      <c r="M611" s="32">
        <v>0.36</v>
      </c>
      <c r="N611" s="27" t="s">
        <v>33</v>
      </c>
      <c r="O611" s="27" t="s">
        <v>34</v>
      </c>
      <c r="P611" s="27" t="s">
        <v>45</v>
      </c>
      <c r="Q611" s="27" t="s">
        <v>1315</v>
      </c>
      <c r="R611" s="33">
        <v>71854</v>
      </c>
      <c r="S611" s="34">
        <v>42057</v>
      </c>
      <c r="T611" s="34">
        <v>42059</v>
      </c>
      <c r="U611" s="29">
        <v>-17.654</v>
      </c>
      <c r="V611" s="26">
        <v>5</v>
      </c>
      <c r="W611" s="29">
        <v>28.46</v>
      </c>
      <c r="X611" s="26">
        <v>90271</v>
      </c>
      <c r="Y611" s="35">
        <v>9.6</v>
      </c>
      <c r="Z611" s="1" t="s">
        <v>3011</v>
      </c>
      <c r="AA611" s="36">
        <v>0.25900000000000001</v>
      </c>
      <c r="AB611" s="54">
        <v>18.214400000000001</v>
      </c>
      <c r="AC611" s="54">
        <v>2.0491199999999998</v>
      </c>
      <c r="AD611" s="36">
        <v>43.814999999999998</v>
      </c>
    </row>
    <row r="612" spans="1:30" s="37" customFormat="1" ht="15.75" customHeight="1" x14ac:dyDescent="0.2">
      <c r="A612" s="26">
        <v>2968</v>
      </c>
      <c r="B612" s="27" t="s">
        <v>1319</v>
      </c>
      <c r="C612" s="27" t="s">
        <v>3094</v>
      </c>
      <c r="D612" s="28">
        <v>0.08</v>
      </c>
      <c r="E612" s="29">
        <v>9.68</v>
      </c>
      <c r="F612" s="29">
        <v>2.0299999999999998</v>
      </c>
      <c r="G612" s="30" t="s">
        <v>39</v>
      </c>
      <c r="H612" s="27" t="s">
        <v>3095</v>
      </c>
      <c r="I612" s="27" t="s">
        <v>49</v>
      </c>
      <c r="J612" s="27" t="s">
        <v>88</v>
      </c>
      <c r="K612" s="27" t="s">
        <v>51</v>
      </c>
      <c r="L612" s="31" t="s">
        <v>1320</v>
      </c>
      <c r="M612" s="32">
        <v>0.37</v>
      </c>
      <c r="N612" s="27" t="s">
        <v>33</v>
      </c>
      <c r="O612" s="27" t="s">
        <v>34</v>
      </c>
      <c r="P612" s="27" t="s">
        <v>123</v>
      </c>
      <c r="Q612" s="27" t="s">
        <v>1321</v>
      </c>
      <c r="R612" s="33">
        <v>33021</v>
      </c>
      <c r="S612" s="34">
        <v>42057</v>
      </c>
      <c r="T612" s="34">
        <v>42059</v>
      </c>
      <c r="U612" s="29">
        <v>-536.24199999999996</v>
      </c>
      <c r="V612" s="26">
        <v>1</v>
      </c>
      <c r="W612" s="29">
        <v>10.94</v>
      </c>
      <c r="X612" s="26">
        <v>86085</v>
      </c>
      <c r="Y612" s="35">
        <v>150.94</v>
      </c>
      <c r="Z612" s="1" t="s">
        <v>3011</v>
      </c>
      <c r="AA612" s="36">
        <v>0.77439999999999998</v>
      </c>
      <c r="AB612" s="54">
        <v>6.8921999999999999</v>
      </c>
      <c r="AC612" s="54">
        <v>4.0477999999999996</v>
      </c>
      <c r="AD612" s="36">
        <v>544.37760000000003</v>
      </c>
    </row>
    <row r="613" spans="1:30" s="37" customFormat="1" ht="15.75" customHeight="1" x14ac:dyDescent="0.2">
      <c r="A613" s="26">
        <v>2697</v>
      </c>
      <c r="B613" s="27" t="s">
        <v>1323</v>
      </c>
      <c r="C613" s="27" t="s">
        <v>26</v>
      </c>
      <c r="D613" s="28">
        <v>0.01</v>
      </c>
      <c r="E613" s="29">
        <v>119.99</v>
      </c>
      <c r="F613" s="29">
        <v>56.14</v>
      </c>
      <c r="G613" s="30" t="s">
        <v>27</v>
      </c>
      <c r="H613" s="27" t="s">
        <v>94</v>
      </c>
      <c r="I613" s="27" t="s">
        <v>41</v>
      </c>
      <c r="J613" s="27" t="s">
        <v>57</v>
      </c>
      <c r="K613" s="27" t="s">
        <v>31</v>
      </c>
      <c r="L613" s="31" t="s">
        <v>587</v>
      </c>
      <c r="M613" s="32">
        <v>0.39</v>
      </c>
      <c r="N613" s="27" t="s">
        <v>33</v>
      </c>
      <c r="O613" s="27" t="s">
        <v>34</v>
      </c>
      <c r="P613" s="27" t="s">
        <v>164</v>
      </c>
      <c r="Q613" s="27" t="s">
        <v>1324</v>
      </c>
      <c r="R613" s="33">
        <v>35216</v>
      </c>
      <c r="S613" s="34">
        <v>42058</v>
      </c>
      <c r="T613" s="34">
        <v>42059</v>
      </c>
      <c r="U613" s="29">
        <v>-1197.0419999999999</v>
      </c>
      <c r="V613" s="26">
        <v>21</v>
      </c>
      <c r="W613" s="29">
        <v>2569.5700000000002</v>
      </c>
      <c r="X613" s="26">
        <v>87678</v>
      </c>
      <c r="Y613" s="35">
        <v>1.7</v>
      </c>
      <c r="Z613" s="1" t="s">
        <v>3011</v>
      </c>
      <c r="AA613" s="36">
        <v>25.197900000000001</v>
      </c>
      <c r="AB613" s="54">
        <v>1567.4377000000002</v>
      </c>
      <c r="AC613" s="54">
        <v>47.720585714285718</v>
      </c>
      <c r="AD613" s="36">
        <v>3685.2741000000001</v>
      </c>
    </row>
    <row r="614" spans="1:30" s="37" customFormat="1" ht="15.75" customHeight="1" x14ac:dyDescent="0.2">
      <c r="A614" s="26">
        <v>2892</v>
      </c>
      <c r="B614" s="27" t="s">
        <v>1331</v>
      </c>
      <c r="C614" s="27" t="s">
        <v>38</v>
      </c>
      <c r="D614" s="28">
        <v>0.1</v>
      </c>
      <c r="E614" s="29">
        <v>209.37</v>
      </c>
      <c r="F614" s="29">
        <v>69</v>
      </c>
      <c r="G614" s="30" t="s">
        <v>39</v>
      </c>
      <c r="H614" s="27" t="s">
        <v>40</v>
      </c>
      <c r="I614" s="27" t="s">
        <v>29</v>
      </c>
      <c r="J614" s="27" t="s">
        <v>30</v>
      </c>
      <c r="K614" s="27" t="s">
        <v>65</v>
      </c>
      <c r="L614" s="31" t="s">
        <v>1224</v>
      </c>
      <c r="M614" s="32">
        <v>0.79</v>
      </c>
      <c r="N614" s="27" t="s">
        <v>33</v>
      </c>
      <c r="O614" s="27" t="s">
        <v>53</v>
      </c>
      <c r="P614" s="27" t="s">
        <v>289</v>
      </c>
      <c r="Q614" s="27" t="s">
        <v>1332</v>
      </c>
      <c r="R614" s="33">
        <v>48154</v>
      </c>
      <c r="S614" s="34">
        <v>42058</v>
      </c>
      <c r="T614" s="34">
        <v>42060</v>
      </c>
      <c r="U614" s="29">
        <v>-165.59492040000001</v>
      </c>
      <c r="V614" s="26">
        <v>11</v>
      </c>
      <c r="W614" s="29">
        <v>2125.12</v>
      </c>
      <c r="X614" s="26">
        <v>90011</v>
      </c>
      <c r="Y614" s="35">
        <v>119.97999999999999</v>
      </c>
      <c r="Z614" s="1" t="s">
        <v>3012</v>
      </c>
      <c r="AA614" s="36">
        <v>230.30700000000002</v>
      </c>
      <c r="AB614" s="54">
        <v>446.27519999999993</v>
      </c>
      <c r="AC614" s="54">
        <v>152.62225454545455</v>
      </c>
      <c r="AD614" s="36">
        <v>1991.4079204</v>
      </c>
    </row>
    <row r="615" spans="1:30" s="37" customFormat="1" ht="15.75" customHeight="1" x14ac:dyDescent="0.2">
      <c r="A615" s="26">
        <v>247</v>
      </c>
      <c r="B615" s="27" t="s">
        <v>1335</v>
      </c>
      <c r="C615" s="27" t="s">
        <v>116</v>
      </c>
      <c r="D615" s="28">
        <v>0.02</v>
      </c>
      <c r="E615" s="29">
        <v>146.05000000000001</v>
      </c>
      <c r="F615" s="29">
        <v>80.2</v>
      </c>
      <c r="G615" s="30" t="s">
        <v>27</v>
      </c>
      <c r="H615" s="27" t="s">
        <v>94</v>
      </c>
      <c r="I615" s="27" t="s">
        <v>29</v>
      </c>
      <c r="J615" s="27" t="s">
        <v>30</v>
      </c>
      <c r="K615" s="27" t="s">
        <v>31</v>
      </c>
      <c r="L615" s="31" t="s">
        <v>971</v>
      </c>
      <c r="M615" s="32">
        <v>0.71</v>
      </c>
      <c r="N615" s="27" t="s">
        <v>33</v>
      </c>
      <c r="O615" s="27" t="s">
        <v>34</v>
      </c>
      <c r="P615" s="27" t="s">
        <v>400</v>
      </c>
      <c r="Q615" s="27" t="s">
        <v>1336</v>
      </c>
      <c r="R615" s="33">
        <v>37804</v>
      </c>
      <c r="S615" s="34">
        <v>42058</v>
      </c>
      <c r="T615" s="34">
        <v>42058</v>
      </c>
      <c r="U615" s="29">
        <v>-101.19199999999999</v>
      </c>
      <c r="V615" s="26">
        <v>5</v>
      </c>
      <c r="W615" s="29">
        <v>798.69</v>
      </c>
      <c r="X615" s="26">
        <v>89139</v>
      </c>
      <c r="Y615" s="35">
        <v>13.78</v>
      </c>
      <c r="Z615" s="1" t="s">
        <v>3011</v>
      </c>
      <c r="AA615" s="36">
        <v>14.605</v>
      </c>
      <c r="AB615" s="54">
        <v>231.62010000000004</v>
      </c>
      <c r="AC615" s="54">
        <v>113.41398</v>
      </c>
      <c r="AD615" s="36">
        <v>805.077</v>
      </c>
    </row>
    <row r="616" spans="1:30" s="37" customFormat="1" ht="15.75" customHeight="1" x14ac:dyDescent="0.2">
      <c r="A616" s="26">
        <v>247</v>
      </c>
      <c r="B616" s="27" t="s">
        <v>1335</v>
      </c>
      <c r="C616" s="27" t="s">
        <v>116</v>
      </c>
      <c r="D616" s="28">
        <v>0.06</v>
      </c>
      <c r="E616" s="29">
        <v>65.989999999999995</v>
      </c>
      <c r="F616" s="29">
        <v>5.92</v>
      </c>
      <c r="G616" s="30" t="s">
        <v>39</v>
      </c>
      <c r="H616" s="27" t="s">
        <v>94</v>
      </c>
      <c r="I616" s="27" t="s">
        <v>41</v>
      </c>
      <c r="J616" s="27" t="s">
        <v>135</v>
      </c>
      <c r="K616" s="27" t="s">
        <v>73</v>
      </c>
      <c r="L616" s="31" t="s">
        <v>264</v>
      </c>
      <c r="M616" s="32">
        <v>0.55000000000000004</v>
      </c>
      <c r="N616" s="27" t="s">
        <v>33</v>
      </c>
      <c r="O616" s="27" t="s">
        <v>34</v>
      </c>
      <c r="P616" s="27" t="s">
        <v>400</v>
      </c>
      <c r="Q616" s="27" t="s">
        <v>1336</v>
      </c>
      <c r="R616" s="33">
        <v>37804</v>
      </c>
      <c r="S616" s="34">
        <v>42058</v>
      </c>
      <c r="T616" s="34">
        <v>42059</v>
      </c>
      <c r="U616" s="29">
        <v>-3.3319999999999999</v>
      </c>
      <c r="V616" s="26">
        <v>14</v>
      </c>
      <c r="W616" s="29">
        <v>792.11</v>
      </c>
      <c r="X616" s="26">
        <v>89139</v>
      </c>
      <c r="Y616" s="35">
        <v>33.25</v>
      </c>
      <c r="Z616" s="1" t="s">
        <v>3011</v>
      </c>
      <c r="AA616" s="36">
        <v>55.431599999999996</v>
      </c>
      <c r="AB616" s="54">
        <v>356.44949999999994</v>
      </c>
      <c r="AC616" s="54">
        <v>31.118607142857147</v>
      </c>
      <c r="AD616" s="36">
        <v>734.09040000000005</v>
      </c>
    </row>
    <row r="617" spans="1:30" s="37" customFormat="1" ht="15.75" customHeight="1" x14ac:dyDescent="0.2">
      <c r="A617" s="26">
        <v>2865</v>
      </c>
      <c r="B617" s="27" t="s">
        <v>1325</v>
      </c>
      <c r="C617" s="27" t="s">
        <v>26</v>
      </c>
      <c r="D617" s="28">
        <v>0.04</v>
      </c>
      <c r="E617" s="29">
        <v>33.29</v>
      </c>
      <c r="F617" s="29">
        <v>8.74</v>
      </c>
      <c r="G617" s="30" t="s">
        <v>39</v>
      </c>
      <c r="H617" s="27" t="s">
        <v>94</v>
      </c>
      <c r="I617" s="27" t="s">
        <v>49</v>
      </c>
      <c r="J617" s="27" t="s">
        <v>78</v>
      </c>
      <c r="K617" s="27" t="s">
        <v>73</v>
      </c>
      <c r="L617" s="31" t="s">
        <v>1328</v>
      </c>
      <c r="M617" s="32">
        <v>0.61</v>
      </c>
      <c r="N617" s="27" t="s">
        <v>33</v>
      </c>
      <c r="O617" s="27" t="s">
        <v>53</v>
      </c>
      <c r="P617" s="27" t="s">
        <v>187</v>
      </c>
      <c r="Q617" s="27" t="s">
        <v>1327</v>
      </c>
      <c r="R617" s="33">
        <v>75460</v>
      </c>
      <c r="S617" s="34">
        <v>42058</v>
      </c>
      <c r="T617" s="34">
        <v>42059</v>
      </c>
      <c r="U617" s="29">
        <v>87.03</v>
      </c>
      <c r="V617" s="26">
        <v>8</v>
      </c>
      <c r="W617" s="29">
        <v>273.33999999999997</v>
      </c>
      <c r="X617" s="26">
        <v>90871</v>
      </c>
      <c r="Y617" s="35">
        <v>20.97</v>
      </c>
      <c r="Z617" s="1" t="s">
        <v>3012</v>
      </c>
      <c r="AA617" s="36">
        <v>10.652799999999999</v>
      </c>
      <c r="AB617" s="54">
        <v>106.6026</v>
      </c>
      <c r="AC617" s="54">
        <v>20.842174999999997</v>
      </c>
      <c r="AD617" s="36">
        <v>166.91719999999998</v>
      </c>
    </row>
    <row r="618" spans="1:30" s="37" customFormat="1" ht="15.75" customHeight="1" x14ac:dyDescent="0.2">
      <c r="A618" s="26">
        <v>508</v>
      </c>
      <c r="B618" s="27" t="s">
        <v>1329</v>
      </c>
      <c r="C618" s="27" t="s">
        <v>38</v>
      </c>
      <c r="D618" s="28">
        <v>0.01</v>
      </c>
      <c r="E618" s="29">
        <v>20.98</v>
      </c>
      <c r="F618" s="29">
        <v>53.03</v>
      </c>
      <c r="G618" s="30" t="s">
        <v>27</v>
      </c>
      <c r="H618" s="27" t="s">
        <v>94</v>
      </c>
      <c r="I618" s="27" t="s">
        <v>49</v>
      </c>
      <c r="J618" s="27" t="s">
        <v>78</v>
      </c>
      <c r="K618" s="27" t="s">
        <v>58</v>
      </c>
      <c r="L618" s="31" t="s">
        <v>1090</v>
      </c>
      <c r="M618" s="32">
        <v>0.78</v>
      </c>
      <c r="N618" s="27" t="s">
        <v>33</v>
      </c>
      <c r="O618" s="27" t="s">
        <v>34</v>
      </c>
      <c r="P618" s="27" t="s">
        <v>388</v>
      </c>
      <c r="Q618" s="27" t="s">
        <v>1330</v>
      </c>
      <c r="R618" s="33">
        <v>41011</v>
      </c>
      <c r="S618" s="34">
        <v>42058</v>
      </c>
      <c r="T618" s="34">
        <v>42058</v>
      </c>
      <c r="U618" s="29">
        <v>-282.08179999999999</v>
      </c>
      <c r="V618" s="26">
        <v>5</v>
      </c>
      <c r="W618" s="29">
        <v>123</v>
      </c>
      <c r="X618" s="26">
        <v>87356</v>
      </c>
      <c r="Y618" s="35">
        <v>209.27</v>
      </c>
      <c r="Z618" s="1" t="s">
        <v>3011</v>
      </c>
      <c r="AA618" s="36">
        <v>1.0490000000000002</v>
      </c>
      <c r="AB618" s="54">
        <v>27.059999999999995</v>
      </c>
      <c r="AC618" s="54">
        <v>19.188000000000002</v>
      </c>
      <c r="AD618" s="36">
        <v>351.00279999999998</v>
      </c>
    </row>
    <row r="619" spans="1:30" s="37" customFormat="1" ht="15.75" customHeight="1" x14ac:dyDescent="0.2">
      <c r="A619" s="26">
        <v>2865</v>
      </c>
      <c r="B619" s="27" t="s">
        <v>1325</v>
      </c>
      <c r="C619" s="27" t="s">
        <v>26</v>
      </c>
      <c r="D619" s="28">
        <v>0.01</v>
      </c>
      <c r="E619" s="29">
        <v>13.79</v>
      </c>
      <c r="F619" s="29">
        <v>8.7799999999999994</v>
      </c>
      <c r="G619" s="30" t="s">
        <v>39</v>
      </c>
      <c r="H619" s="27" t="s">
        <v>94</v>
      </c>
      <c r="I619" s="27" t="s">
        <v>29</v>
      </c>
      <c r="J619" s="27" t="s">
        <v>126</v>
      </c>
      <c r="K619" s="27" t="s">
        <v>73</v>
      </c>
      <c r="L619" s="31" t="s">
        <v>1326</v>
      </c>
      <c r="M619" s="32">
        <v>0.43</v>
      </c>
      <c r="N619" s="27" t="s">
        <v>33</v>
      </c>
      <c r="O619" s="27" t="s">
        <v>53</v>
      </c>
      <c r="P619" s="27" t="s">
        <v>187</v>
      </c>
      <c r="Q619" s="27" t="s">
        <v>1327</v>
      </c>
      <c r="R619" s="33">
        <v>75460</v>
      </c>
      <c r="S619" s="34">
        <v>42058</v>
      </c>
      <c r="T619" s="34">
        <v>42060</v>
      </c>
      <c r="U619" s="29">
        <v>-36.770000000000003</v>
      </c>
      <c r="V619" s="26">
        <v>4</v>
      </c>
      <c r="W619" s="29">
        <v>56.68</v>
      </c>
      <c r="X619" s="26">
        <v>90871</v>
      </c>
      <c r="Y619" s="35">
        <v>4.91</v>
      </c>
      <c r="Z619" s="1" t="s">
        <v>3012</v>
      </c>
      <c r="AA619" s="36">
        <v>0.55159999999999998</v>
      </c>
      <c r="AB619" s="54">
        <v>32.307600000000001</v>
      </c>
      <c r="AC619" s="54">
        <v>6.0930999999999997</v>
      </c>
      <c r="AD619" s="36">
        <v>84.118400000000008</v>
      </c>
    </row>
    <row r="620" spans="1:30" s="37" customFormat="1" ht="15.75" customHeight="1" x14ac:dyDescent="0.2">
      <c r="A620" s="26">
        <v>2893</v>
      </c>
      <c r="B620" s="27" t="s">
        <v>1333</v>
      </c>
      <c r="C620" s="27" t="s">
        <v>38</v>
      </c>
      <c r="D620" s="28">
        <v>7.0000000000000007E-2</v>
      </c>
      <c r="E620" s="29">
        <v>4.9800000000000004</v>
      </c>
      <c r="F620" s="29">
        <v>4.7</v>
      </c>
      <c r="G620" s="30" t="s">
        <v>39</v>
      </c>
      <c r="H620" s="27" t="s">
        <v>40</v>
      </c>
      <c r="I620" s="27" t="s">
        <v>49</v>
      </c>
      <c r="J620" s="27" t="s">
        <v>88</v>
      </c>
      <c r="K620" s="27" t="s">
        <v>73</v>
      </c>
      <c r="L620" s="31" t="s">
        <v>1334</v>
      </c>
      <c r="M620" s="32">
        <v>0.38</v>
      </c>
      <c r="N620" s="27" t="s">
        <v>33</v>
      </c>
      <c r="O620" s="27" t="s">
        <v>53</v>
      </c>
      <c r="P620" s="27" t="s">
        <v>289</v>
      </c>
      <c r="Q620" s="27" t="s">
        <v>510</v>
      </c>
      <c r="R620" s="33">
        <v>48071</v>
      </c>
      <c r="S620" s="34">
        <v>42058</v>
      </c>
      <c r="T620" s="34">
        <v>42059</v>
      </c>
      <c r="U620" s="29">
        <v>-21.684000000000001</v>
      </c>
      <c r="V620" s="26">
        <v>9</v>
      </c>
      <c r="W620" s="29">
        <v>45.05</v>
      </c>
      <c r="X620" s="26">
        <v>90011</v>
      </c>
      <c r="Y620" s="35">
        <v>146.03</v>
      </c>
      <c r="Z620" s="1" t="s">
        <v>3012</v>
      </c>
      <c r="AA620" s="36">
        <v>3.1374000000000009</v>
      </c>
      <c r="AB620" s="54">
        <v>27.930999999999997</v>
      </c>
      <c r="AC620" s="54">
        <v>1.9021111111111111</v>
      </c>
      <c r="AD620" s="36">
        <v>58.896599999999999</v>
      </c>
    </row>
    <row r="621" spans="1:30" s="37" customFormat="1" ht="15.75" customHeight="1" x14ac:dyDescent="0.2">
      <c r="A621" s="26">
        <v>2697</v>
      </c>
      <c r="B621" s="27" t="s">
        <v>1323</v>
      </c>
      <c r="C621" s="27" t="s">
        <v>26</v>
      </c>
      <c r="D621" s="28">
        <v>0.04</v>
      </c>
      <c r="E621" s="29">
        <v>1.74</v>
      </c>
      <c r="F621" s="29">
        <v>4.08</v>
      </c>
      <c r="G621" s="30" t="s">
        <v>39</v>
      </c>
      <c r="H621" s="27" t="s">
        <v>94</v>
      </c>
      <c r="I621" s="27" t="s">
        <v>29</v>
      </c>
      <c r="J621" s="27" t="s">
        <v>126</v>
      </c>
      <c r="K621" s="27" t="s">
        <v>43</v>
      </c>
      <c r="L621" s="31" t="s">
        <v>770</v>
      </c>
      <c r="M621" s="32">
        <v>0.53</v>
      </c>
      <c r="N621" s="27" t="s">
        <v>33</v>
      </c>
      <c r="O621" s="27" t="s">
        <v>34</v>
      </c>
      <c r="P621" s="27" t="s">
        <v>164</v>
      </c>
      <c r="Q621" s="27" t="s">
        <v>1324</v>
      </c>
      <c r="R621" s="33">
        <v>35216</v>
      </c>
      <c r="S621" s="34">
        <v>42058</v>
      </c>
      <c r="T621" s="34">
        <v>42060</v>
      </c>
      <c r="U621" s="29">
        <v>9.2520000000000007</v>
      </c>
      <c r="V621" s="26">
        <v>16</v>
      </c>
      <c r="W621" s="29">
        <v>29.08</v>
      </c>
      <c r="X621" s="26">
        <v>87678</v>
      </c>
      <c r="Y621" s="35">
        <v>65.929999999999993</v>
      </c>
      <c r="Z621" s="1" t="s">
        <v>3011</v>
      </c>
      <c r="AA621" s="36">
        <v>1.1135999999999999</v>
      </c>
      <c r="AB621" s="54">
        <v>13.667599999999998</v>
      </c>
      <c r="AC621" s="54">
        <v>0.96327499999999999</v>
      </c>
      <c r="AD621" s="36">
        <v>14.634399999999998</v>
      </c>
    </row>
    <row r="622" spans="1:30" s="37" customFormat="1" ht="15.75" customHeight="1" x14ac:dyDescent="0.2">
      <c r="A622" s="26">
        <v>1894</v>
      </c>
      <c r="B622" s="27" t="s">
        <v>1339</v>
      </c>
      <c r="C622" s="27" t="s">
        <v>26</v>
      </c>
      <c r="D622" s="28">
        <v>0</v>
      </c>
      <c r="E622" s="29">
        <v>300.98</v>
      </c>
      <c r="F622" s="29">
        <v>164.73</v>
      </c>
      <c r="G622" s="30" t="s">
        <v>27</v>
      </c>
      <c r="H622" s="27" t="s">
        <v>71</v>
      </c>
      <c r="I622" s="27" t="s">
        <v>29</v>
      </c>
      <c r="J622" s="27" t="s">
        <v>109</v>
      </c>
      <c r="K622" s="27" t="s">
        <v>58</v>
      </c>
      <c r="L622" s="31" t="s">
        <v>1340</v>
      </c>
      <c r="M622" s="32">
        <v>0.56000000000000005</v>
      </c>
      <c r="N622" s="27" t="s">
        <v>33</v>
      </c>
      <c r="O622" s="27" t="s">
        <v>53</v>
      </c>
      <c r="P622" s="27" t="s">
        <v>357</v>
      </c>
      <c r="Q622" s="27" t="s">
        <v>1341</v>
      </c>
      <c r="R622" s="33">
        <v>54915</v>
      </c>
      <c r="S622" s="34">
        <v>42059</v>
      </c>
      <c r="T622" s="34">
        <v>42060</v>
      </c>
      <c r="U622" s="29">
        <v>2653.2914999999998</v>
      </c>
      <c r="V622" s="26">
        <v>12</v>
      </c>
      <c r="W622" s="29">
        <v>3845.35</v>
      </c>
      <c r="X622" s="26">
        <v>91261</v>
      </c>
      <c r="Y622" s="35">
        <v>48.55</v>
      </c>
      <c r="Z622" s="1" t="s">
        <v>3012</v>
      </c>
      <c r="AA622" s="36">
        <v>0</v>
      </c>
      <c r="AB622" s="54">
        <v>1691.9539999999997</v>
      </c>
      <c r="AC622" s="54">
        <v>179.44966666666667</v>
      </c>
      <c r="AD622" s="36">
        <v>1027.3285000000001</v>
      </c>
    </row>
    <row r="623" spans="1:30" s="37" customFormat="1" ht="15.75" customHeight="1" x14ac:dyDescent="0.2">
      <c r="A623" s="26">
        <v>1919</v>
      </c>
      <c r="B623" s="27" t="s">
        <v>1342</v>
      </c>
      <c r="C623" s="27" t="s">
        <v>38</v>
      </c>
      <c r="D623" s="28">
        <v>0</v>
      </c>
      <c r="E623" s="29">
        <v>195.99</v>
      </c>
      <c r="F623" s="29">
        <v>8.99</v>
      </c>
      <c r="G623" s="30" t="s">
        <v>39</v>
      </c>
      <c r="H623" s="27" t="s">
        <v>71</v>
      </c>
      <c r="I623" s="27" t="s">
        <v>41</v>
      </c>
      <c r="J623" s="27" t="s">
        <v>135</v>
      </c>
      <c r="K623" s="27" t="s">
        <v>73</v>
      </c>
      <c r="L623" s="31" t="s">
        <v>1343</v>
      </c>
      <c r="M623" s="32">
        <v>0.6</v>
      </c>
      <c r="N623" s="27" t="s">
        <v>33</v>
      </c>
      <c r="O623" s="27" t="s">
        <v>34</v>
      </c>
      <c r="P623" s="27" t="s">
        <v>45</v>
      </c>
      <c r="Q623" s="27" t="s">
        <v>1344</v>
      </c>
      <c r="R623" s="33">
        <v>71603</v>
      </c>
      <c r="S623" s="34">
        <v>42059</v>
      </c>
      <c r="T623" s="34">
        <v>42060</v>
      </c>
      <c r="U623" s="29">
        <v>114.88200000000001</v>
      </c>
      <c r="V623" s="26">
        <v>5</v>
      </c>
      <c r="W623" s="29">
        <v>882.93</v>
      </c>
      <c r="X623" s="26">
        <v>85896</v>
      </c>
      <c r="Y623" s="35">
        <v>300.98</v>
      </c>
      <c r="Z623" s="1" t="s">
        <v>3011</v>
      </c>
      <c r="AA623" s="36">
        <v>0</v>
      </c>
      <c r="AB623" s="54">
        <v>353.17200000000003</v>
      </c>
      <c r="AC623" s="54">
        <v>105.95159999999998</v>
      </c>
      <c r="AD623" s="36">
        <v>759.05799999999999</v>
      </c>
    </row>
    <row r="624" spans="1:30" s="37" customFormat="1" ht="15.75" customHeight="1" x14ac:dyDescent="0.2">
      <c r="A624" s="26">
        <v>1649</v>
      </c>
      <c r="B624" s="27" t="s">
        <v>1337</v>
      </c>
      <c r="C624" s="27" t="s">
        <v>26</v>
      </c>
      <c r="D624" s="28">
        <v>0.03</v>
      </c>
      <c r="E624" s="29">
        <v>48.58</v>
      </c>
      <c r="F624" s="29">
        <v>3.99</v>
      </c>
      <c r="G624" s="30" t="s">
        <v>87</v>
      </c>
      <c r="H624" s="27" t="s">
        <v>94</v>
      </c>
      <c r="I624" s="27" t="s">
        <v>49</v>
      </c>
      <c r="J624" s="27" t="s">
        <v>95</v>
      </c>
      <c r="K624" s="27" t="s">
        <v>73</v>
      </c>
      <c r="L624" s="31" t="s">
        <v>1338</v>
      </c>
      <c r="M624" s="32">
        <v>0.56000000000000005</v>
      </c>
      <c r="N624" s="27" t="s">
        <v>33</v>
      </c>
      <c r="O624" s="27" t="s">
        <v>111</v>
      </c>
      <c r="P624" s="27" t="s">
        <v>112</v>
      </c>
      <c r="Q624" s="27" t="s">
        <v>542</v>
      </c>
      <c r="R624" s="33">
        <v>11598</v>
      </c>
      <c r="S624" s="34">
        <v>42059</v>
      </c>
      <c r="T624" s="34">
        <v>42061</v>
      </c>
      <c r="U624" s="29">
        <v>100.1328</v>
      </c>
      <c r="V624" s="26">
        <v>3</v>
      </c>
      <c r="W624" s="29">
        <v>145.12</v>
      </c>
      <c r="X624" s="26">
        <v>91041</v>
      </c>
      <c r="Y624" s="35">
        <v>2.85</v>
      </c>
      <c r="Z624" s="1" t="s">
        <v>3014</v>
      </c>
      <c r="AA624" s="36">
        <v>4.3721999999999994</v>
      </c>
      <c r="AB624" s="54">
        <v>63.852799999999995</v>
      </c>
      <c r="AC624" s="54">
        <v>27.089066666666671</v>
      </c>
      <c r="AD624" s="36">
        <v>36.625</v>
      </c>
    </row>
    <row r="625" spans="1:30" s="37" customFormat="1" ht="15.75" customHeight="1" x14ac:dyDescent="0.2">
      <c r="A625" s="26">
        <v>961</v>
      </c>
      <c r="B625" s="27" t="s">
        <v>1347</v>
      </c>
      <c r="C625" s="27" t="s">
        <v>3094</v>
      </c>
      <c r="D625" s="28">
        <v>0.05</v>
      </c>
      <c r="E625" s="29">
        <v>124.49</v>
      </c>
      <c r="F625" s="29">
        <v>51.94</v>
      </c>
      <c r="G625" s="30" t="s">
        <v>27</v>
      </c>
      <c r="H625" s="27" t="s">
        <v>71</v>
      </c>
      <c r="I625" s="27" t="s">
        <v>29</v>
      </c>
      <c r="J625" s="27" t="s">
        <v>30</v>
      </c>
      <c r="K625" s="27" t="s">
        <v>31</v>
      </c>
      <c r="L625" s="31" t="s">
        <v>1149</v>
      </c>
      <c r="M625" s="32">
        <v>0.63</v>
      </c>
      <c r="N625" s="27" t="s">
        <v>33</v>
      </c>
      <c r="O625" s="27" t="s">
        <v>60</v>
      </c>
      <c r="P625" s="27" t="s">
        <v>90</v>
      </c>
      <c r="Q625" s="27" t="s">
        <v>1348</v>
      </c>
      <c r="R625" s="33">
        <v>94061</v>
      </c>
      <c r="S625" s="34">
        <v>42059</v>
      </c>
      <c r="T625" s="34">
        <v>42059</v>
      </c>
      <c r="U625" s="29">
        <v>-44.163600000000002</v>
      </c>
      <c r="V625" s="26">
        <v>1</v>
      </c>
      <c r="W625" s="29">
        <v>120.12</v>
      </c>
      <c r="X625" s="26">
        <v>89402</v>
      </c>
      <c r="Y625" s="35">
        <v>195.99</v>
      </c>
      <c r="Z625" s="1" t="s">
        <v>3013</v>
      </c>
      <c r="AA625" s="36">
        <v>6.2244999999999999</v>
      </c>
      <c r="AB625" s="54">
        <v>44.444400000000002</v>
      </c>
      <c r="AC625" s="54">
        <v>75.675600000000003</v>
      </c>
      <c r="AD625" s="36">
        <v>106.1191</v>
      </c>
    </row>
    <row r="626" spans="1:30" s="37" customFormat="1" ht="15.75" customHeight="1" x14ac:dyDescent="0.2">
      <c r="A626" s="26">
        <v>2398</v>
      </c>
      <c r="B626" s="27" t="s">
        <v>1349</v>
      </c>
      <c r="C626" s="27" t="s">
        <v>3094</v>
      </c>
      <c r="D626" s="28">
        <v>0.03</v>
      </c>
      <c r="E626" s="29">
        <v>7.64</v>
      </c>
      <c r="F626" s="29">
        <v>5.83</v>
      </c>
      <c r="G626" s="30" t="s">
        <v>39</v>
      </c>
      <c r="H626" s="27" t="s">
        <v>94</v>
      </c>
      <c r="I626" s="27" t="s">
        <v>49</v>
      </c>
      <c r="J626" s="27" t="s">
        <v>88</v>
      </c>
      <c r="K626" s="27" t="s">
        <v>51</v>
      </c>
      <c r="L626" s="31" t="s">
        <v>232</v>
      </c>
      <c r="M626" s="32">
        <v>0.36</v>
      </c>
      <c r="N626" s="27" t="s">
        <v>33</v>
      </c>
      <c r="O626" s="27" t="s">
        <v>53</v>
      </c>
      <c r="P626" s="27" t="s">
        <v>103</v>
      </c>
      <c r="Q626" s="27" t="s">
        <v>1350</v>
      </c>
      <c r="R626" s="33">
        <v>60103</v>
      </c>
      <c r="S626" s="34">
        <v>42059</v>
      </c>
      <c r="T626" s="34">
        <v>42061</v>
      </c>
      <c r="U626" s="29">
        <v>-15.090400000000001</v>
      </c>
      <c r="V626" s="26">
        <v>12</v>
      </c>
      <c r="W626" s="29">
        <v>96.86</v>
      </c>
      <c r="X626" s="26">
        <v>86373</v>
      </c>
      <c r="Y626" s="35">
        <v>4.04</v>
      </c>
      <c r="Z626" s="1" t="s">
        <v>3012</v>
      </c>
      <c r="AA626" s="36">
        <v>2.7504</v>
      </c>
      <c r="AB626" s="54">
        <v>61.990400000000001</v>
      </c>
      <c r="AC626" s="54">
        <v>2.9058000000000002</v>
      </c>
      <c r="AD626" s="36">
        <v>103.37</v>
      </c>
    </row>
    <row r="627" spans="1:30" s="37" customFormat="1" ht="15.75" customHeight="1" x14ac:dyDescent="0.2">
      <c r="A627" s="26">
        <v>1127</v>
      </c>
      <c r="B627" s="27" t="s">
        <v>1345</v>
      </c>
      <c r="C627" s="27" t="s">
        <v>116</v>
      </c>
      <c r="D627" s="28">
        <v>0.02</v>
      </c>
      <c r="E627" s="29">
        <v>4.0599999999999996</v>
      </c>
      <c r="F627" s="29">
        <v>6.89</v>
      </c>
      <c r="G627" s="30" t="s">
        <v>39</v>
      </c>
      <c r="H627" s="27" t="s">
        <v>40</v>
      </c>
      <c r="I627" s="27" t="s">
        <v>49</v>
      </c>
      <c r="J627" s="27" t="s">
        <v>95</v>
      </c>
      <c r="K627" s="27" t="s">
        <v>73</v>
      </c>
      <c r="L627" s="31" t="s">
        <v>1271</v>
      </c>
      <c r="M627" s="32">
        <v>0.6</v>
      </c>
      <c r="N627" s="27" t="s">
        <v>33</v>
      </c>
      <c r="O627" s="27" t="s">
        <v>53</v>
      </c>
      <c r="P627" s="27" t="s">
        <v>187</v>
      </c>
      <c r="Q627" s="27" t="s">
        <v>1346</v>
      </c>
      <c r="R627" s="33">
        <v>78852</v>
      </c>
      <c r="S627" s="34">
        <v>42059</v>
      </c>
      <c r="T627" s="34">
        <v>42061</v>
      </c>
      <c r="U627" s="29">
        <v>-93.735200000000006</v>
      </c>
      <c r="V627" s="26">
        <v>16</v>
      </c>
      <c r="W627" s="29">
        <v>66.81</v>
      </c>
      <c r="X627" s="26">
        <v>87221</v>
      </c>
      <c r="Y627" s="35">
        <v>124.44</v>
      </c>
      <c r="Z627" s="1" t="s">
        <v>3012</v>
      </c>
      <c r="AA627" s="36">
        <v>1.2991999999999999</v>
      </c>
      <c r="AB627" s="54">
        <v>26.724000000000004</v>
      </c>
      <c r="AC627" s="54">
        <v>2.5053749999999999</v>
      </c>
      <c r="AD627" s="36">
        <v>152.35599999999999</v>
      </c>
    </row>
    <row r="628" spans="1:30" s="37" customFormat="1" ht="15.75" customHeight="1" x14ac:dyDescent="0.2">
      <c r="A628" s="26">
        <v>1894</v>
      </c>
      <c r="B628" s="27" t="s">
        <v>1339</v>
      </c>
      <c r="C628" s="27" t="s">
        <v>26</v>
      </c>
      <c r="D628" s="28">
        <v>0.09</v>
      </c>
      <c r="E628" s="29">
        <v>2.94</v>
      </c>
      <c r="F628" s="29">
        <v>0.96</v>
      </c>
      <c r="G628" s="30" t="s">
        <v>39</v>
      </c>
      <c r="H628" s="27" t="s">
        <v>71</v>
      </c>
      <c r="I628" s="27" t="s">
        <v>49</v>
      </c>
      <c r="J628" s="27" t="s">
        <v>50</v>
      </c>
      <c r="K628" s="27" t="s">
        <v>51</v>
      </c>
      <c r="L628" s="31" t="s">
        <v>829</v>
      </c>
      <c r="M628" s="32">
        <v>0.57999999999999996</v>
      </c>
      <c r="N628" s="27" t="s">
        <v>33</v>
      </c>
      <c r="O628" s="27" t="s">
        <v>53</v>
      </c>
      <c r="P628" s="27" t="s">
        <v>357</v>
      </c>
      <c r="Q628" s="27" t="s">
        <v>1341</v>
      </c>
      <c r="R628" s="33">
        <v>54915</v>
      </c>
      <c r="S628" s="34">
        <v>42059</v>
      </c>
      <c r="T628" s="34">
        <v>42061</v>
      </c>
      <c r="U628" s="29">
        <v>-1.84</v>
      </c>
      <c r="V628" s="26">
        <v>1</v>
      </c>
      <c r="W628" s="29">
        <v>3.77</v>
      </c>
      <c r="X628" s="26">
        <v>91261</v>
      </c>
      <c r="Y628" s="35">
        <v>7.6099999999999994</v>
      </c>
      <c r="Z628" s="1" t="s">
        <v>3012</v>
      </c>
      <c r="AA628" s="36">
        <v>0.2646</v>
      </c>
      <c r="AB628" s="54">
        <v>1.5834000000000001</v>
      </c>
      <c r="AC628" s="54">
        <v>2.1865999999999999</v>
      </c>
      <c r="AD628" s="36">
        <v>4.3854000000000006</v>
      </c>
    </row>
    <row r="629" spans="1:30" s="37" customFormat="1" ht="15.75" customHeight="1" x14ac:dyDescent="0.2">
      <c r="A629" s="26">
        <v>1193</v>
      </c>
      <c r="B629" s="27" t="s">
        <v>1351</v>
      </c>
      <c r="C629" s="27" t="s">
        <v>38</v>
      </c>
      <c r="D629" s="28">
        <v>0.05</v>
      </c>
      <c r="E629" s="29">
        <v>52.4</v>
      </c>
      <c r="F629" s="29">
        <v>16.11</v>
      </c>
      <c r="G629" s="30" t="s">
        <v>39</v>
      </c>
      <c r="H629" s="27" t="s">
        <v>40</v>
      </c>
      <c r="I629" s="27" t="s">
        <v>49</v>
      </c>
      <c r="J629" s="27" t="s">
        <v>72</v>
      </c>
      <c r="K629" s="27" t="s">
        <v>73</v>
      </c>
      <c r="L629" s="31" t="s">
        <v>1352</v>
      </c>
      <c r="M629" s="32">
        <v>0.39</v>
      </c>
      <c r="N629" s="27" t="s">
        <v>33</v>
      </c>
      <c r="O629" s="27" t="s">
        <v>111</v>
      </c>
      <c r="P629" s="27" t="s">
        <v>374</v>
      </c>
      <c r="Q629" s="27" t="s">
        <v>67</v>
      </c>
      <c r="R629" s="33">
        <v>20016</v>
      </c>
      <c r="S629" s="34">
        <v>42060</v>
      </c>
      <c r="T629" s="34">
        <v>42062</v>
      </c>
      <c r="U629" s="29">
        <v>592.52650000000006</v>
      </c>
      <c r="V629" s="26">
        <v>85</v>
      </c>
      <c r="W629" s="29">
        <v>4556.63</v>
      </c>
      <c r="X629" s="26">
        <v>29350</v>
      </c>
      <c r="Y629" s="35">
        <v>52.35</v>
      </c>
      <c r="Z629" s="1" t="s">
        <v>3014</v>
      </c>
      <c r="AA629" s="36">
        <v>222.70000000000002</v>
      </c>
      <c r="AB629" s="54">
        <v>2779.5443</v>
      </c>
      <c r="AC629" s="54">
        <v>20.906890588235296</v>
      </c>
      <c r="AD629" s="36">
        <v>3725.2934999999998</v>
      </c>
    </row>
    <row r="630" spans="1:30" s="37" customFormat="1" ht="15.75" customHeight="1" x14ac:dyDescent="0.2">
      <c r="A630" s="26">
        <v>1193</v>
      </c>
      <c r="B630" s="27" t="s">
        <v>1351</v>
      </c>
      <c r="C630" s="27" t="s">
        <v>38</v>
      </c>
      <c r="D630" s="28">
        <v>0.05</v>
      </c>
      <c r="E630" s="29">
        <v>36.549999999999997</v>
      </c>
      <c r="F630" s="29">
        <v>13.89</v>
      </c>
      <c r="G630" s="30" t="s">
        <v>87</v>
      </c>
      <c r="H630" s="27" t="s">
        <v>40</v>
      </c>
      <c r="I630" s="27" t="s">
        <v>49</v>
      </c>
      <c r="J630" s="27" t="s">
        <v>50</v>
      </c>
      <c r="K630" s="27" t="s">
        <v>51</v>
      </c>
      <c r="L630" s="31" t="s">
        <v>1353</v>
      </c>
      <c r="M630" s="32">
        <v>0.41</v>
      </c>
      <c r="N630" s="27" t="s">
        <v>33</v>
      </c>
      <c r="O630" s="27" t="s">
        <v>111</v>
      </c>
      <c r="P630" s="27" t="s">
        <v>374</v>
      </c>
      <c r="Q630" s="27" t="s">
        <v>67</v>
      </c>
      <c r="R630" s="33">
        <v>20016</v>
      </c>
      <c r="S630" s="34">
        <v>42060</v>
      </c>
      <c r="T630" s="34">
        <v>42061</v>
      </c>
      <c r="U630" s="29">
        <v>232.8</v>
      </c>
      <c r="V630" s="26">
        <v>83</v>
      </c>
      <c r="W630" s="29">
        <v>2948.61</v>
      </c>
      <c r="X630" s="26">
        <v>29350</v>
      </c>
      <c r="Y630" s="35">
        <v>36.5</v>
      </c>
      <c r="Z630" s="1" t="s">
        <v>3014</v>
      </c>
      <c r="AA630" s="36">
        <v>151.6825</v>
      </c>
      <c r="AB630" s="54">
        <v>1739.6799000000003</v>
      </c>
      <c r="AC630" s="54">
        <v>14.565422891566264</v>
      </c>
      <c r="AD630" s="36">
        <v>2550.2375000000002</v>
      </c>
    </row>
    <row r="631" spans="1:30" s="37" customFormat="1" ht="15.75" customHeight="1" x14ac:dyDescent="0.2">
      <c r="A631" s="26">
        <v>1200</v>
      </c>
      <c r="B631" s="27" t="s">
        <v>1358</v>
      </c>
      <c r="C631" s="27" t="s">
        <v>38</v>
      </c>
      <c r="D631" s="28">
        <v>0.05</v>
      </c>
      <c r="E631" s="29">
        <v>52.4</v>
      </c>
      <c r="F631" s="29">
        <v>16.11</v>
      </c>
      <c r="G631" s="30" t="s">
        <v>39</v>
      </c>
      <c r="H631" s="27" t="s">
        <v>40</v>
      </c>
      <c r="I631" s="27" t="s">
        <v>49</v>
      </c>
      <c r="J631" s="27" t="s">
        <v>72</v>
      </c>
      <c r="K631" s="27" t="s">
        <v>73</v>
      </c>
      <c r="L631" s="31" t="s">
        <v>1352</v>
      </c>
      <c r="M631" s="32">
        <v>0.39</v>
      </c>
      <c r="N631" s="27" t="s">
        <v>33</v>
      </c>
      <c r="O631" s="27" t="s">
        <v>111</v>
      </c>
      <c r="P631" s="27" t="s">
        <v>397</v>
      </c>
      <c r="Q631" s="27" t="s">
        <v>1359</v>
      </c>
      <c r="R631" s="33">
        <v>7407</v>
      </c>
      <c r="S631" s="34">
        <v>42060</v>
      </c>
      <c r="T631" s="34">
        <v>42062</v>
      </c>
      <c r="U631" s="29">
        <v>776.77440000000001</v>
      </c>
      <c r="V631" s="26">
        <v>21</v>
      </c>
      <c r="W631" s="29">
        <v>1125.76</v>
      </c>
      <c r="X631" s="26">
        <v>87585</v>
      </c>
      <c r="Y631" s="35">
        <v>15.040000000000001</v>
      </c>
      <c r="Z631" s="1" t="s">
        <v>3014</v>
      </c>
      <c r="AA631" s="36">
        <v>55.02</v>
      </c>
      <c r="AB631" s="54">
        <v>686.71359999999993</v>
      </c>
      <c r="AC631" s="54">
        <v>20.906971428571428</v>
      </c>
      <c r="AD631" s="36">
        <v>277.85559999999998</v>
      </c>
    </row>
    <row r="632" spans="1:30" s="37" customFormat="1" ht="15.75" customHeight="1" x14ac:dyDescent="0.2">
      <c r="A632" s="26">
        <v>1202</v>
      </c>
      <c r="B632" s="27" t="s">
        <v>1360</v>
      </c>
      <c r="C632" s="27" t="s">
        <v>38</v>
      </c>
      <c r="D632" s="28">
        <v>0.05</v>
      </c>
      <c r="E632" s="29">
        <v>36.549999999999997</v>
      </c>
      <c r="F632" s="29">
        <v>13.89</v>
      </c>
      <c r="G632" s="30" t="s">
        <v>87</v>
      </c>
      <c r="H632" s="27" t="s">
        <v>40</v>
      </c>
      <c r="I632" s="27" t="s">
        <v>49</v>
      </c>
      <c r="J632" s="27" t="s">
        <v>50</v>
      </c>
      <c r="K632" s="27" t="s">
        <v>51</v>
      </c>
      <c r="L632" s="31" t="s">
        <v>1353</v>
      </c>
      <c r="M632" s="32">
        <v>0.41</v>
      </c>
      <c r="N632" s="27" t="s">
        <v>33</v>
      </c>
      <c r="O632" s="27" t="s">
        <v>111</v>
      </c>
      <c r="P632" s="27" t="s">
        <v>397</v>
      </c>
      <c r="Q632" s="27" t="s">
        <v>1361</v>
      </c>
      <c r="R632" s="33">
        <v>7079</v>
      </c>
      <c r="S632" s="34">
        <v>42060</v>
      </c>
      <c r="T632" s="34">
        <v>42061</v>
      </c>
      <c r="U632" s="29">
        <v>344.54399999999998</v>
      </c>
      <c r="V632" s="26">
        <v>21</v>
      </c>
      <c r="W632" s="29">
        <v>746.03</v>
      </c>
      <c r="X632" s="26">
        <v>87585</v>
      </c>
      <c r="Y632" s="35">
        <v>52.35</v>
      </c>
      <c r="Z632" s="1" t="s">
        <v>3014</v>
      </c>
      <c r="AA632" s="36">
        <v>38.377499999999998</v>
      </c>
      <c r="AB632" s="54">
        <v>440.15770000000003</v>
      </c>
      <c r="AC632" s="54">
        <v>14.565347619047618</v>
      </c>
      <c r="AD632" s="36">
        <v>349.21850000000001</v>
      </c>
    </row>
    <row r="633" spans="1:30" s="37" customFormat="1" ht="15.75" customHeight="1" x14ac:dyDescent="0.2">
      <c r="A633" s="26">
        <v>868</v>
      </c>
      <c r="B633" s="27" t="s">
        <v>1368</v>
      </c>
      <c r="C633" s="27" t="s">
        <v>3094</v>
      </c>
      <c r="D633" s="28">
        <v>0</v>
      </c>
      <c r="E633" s="29">
        <v>80.98</v>
      </c>
      <c r="F633" s="29">
        <v>35</v>
      </c>
      <c r="G633" s="30" t="s">
        <v>39</v>
      </c>
      <c r="H633" s="27" t="s">
        <v>94</v>
      </c>
      <c r="I633" s="27" t="s">
        <v>49</v>
      </c>
      <c r="J633" s="27" t="s">
        <v>78</v>
      </c>
      <c r="K633" s="27" t="s">
        <v>65</v>
      </c>
      <c r="L633" s="31" t="s">
        <v>707</v>
      </c>
      <c r="M633" s="32">
        <v>0.83</v>
      </c>
      <c r="N633" s="27" t="s">
        <v>33</v>
      </c>
      <c r="O633" s="27" t="s">
        <v>53</v>
      </c>
      <c r="P633" s="27" t="s">
        <v>84</v>
      </c>
      <c r="Q633" s="27" t="s">
        <v>1370</v>
      </c>
      <c r="R633" s="33">
        <v>55126</v>
      </c>
      <c r="S633" s="34">
        <v>42060</v>
      </c>
      <c r="T633" s="34">
        <v>42062</v>
      </c>
      <c r="U633" s="29">
        <v>-684.78</v>
      </c>
      <c r="V633" s="26">
        <v>8</v>
      </c>
      <c r="W633" s="29">
        <v>682.79</v>
      </c>
      <c r="X633" s="26">
        <v>91194</v>
      </c>
      <c r="Y633" s="35">
        <v>36.5</v>
      </c>
      <c r="Z633" s="1" t="s">
        <v>3012</v>
      </c>
      <c r="AA633" s="36">
        <v>0</v>
      </c>
      <c r="AB633" s="54">
        <v>116.07430000000002</v>
      </c>
      <c r="AC633" s="54">
        <v>70.839462499999996</v>
      </c>
      <c r="AD633" s="36">
        <v>1332.57</v>
      </c>
    </row>
    <row r="634" spans="1:30" s="37" customFormat="1" ht="15.75" customHeight="1" x14ac:dyDescent="0.2">
      <c r="A634" s="26">
        <v>851</v>
      </c>
      <c r="B634" s="27" t="s">
        <v>1364</v>
      </c>
      <c r="C634" s="27" t="s">
        <v>48</v>
      </c>
      <c r="D634" s="28">
        <v>0.1</v>
      </c>
      <c r="E634" s="29">
        <v>50.98</v>
      </c>
      <c r="F634" s="29">
        <v>22.24</v>
      </c>
      <c r="G634" s="30" t="s">
        <v>39</v>
      </c>
      <c r="H634" s="27" t="s">
        <v>94</v>
      </c>
      <c r="I634" s="27" t="s">
        <v>29</v>
      </c>
      <c r="J634" s="27" t="s">
        <v>126</v>
      </c>
      <c r="K634" s="27" t="s">
        <v>65</v>
      </c>
      <c r="L634" s="31" t="s">
        <v>1365</v>
      </c>
      <c r="M634" s="32">
        <v>0.55000000000000004</v>
      </c>
      <c r="N634" s="27" t="s">
        <v>33</v>
      </c>
      <c r="O634" s="27" t="s">
        <v>60</v>
      </c>
      <c r="P634" s="27" t="s">
        <v>90</v>
      </c>
      <c r="Q634" s="27" t="s">
        <v>1366</v>
      </c>
      <c r="R634" s="33">
        <v>91745</v>
      </c>
      <c r="S634" s="34">
        <v>42060</v>
      </c>
      <c r="T634" s="34">
        <v>42062</v>
      </c>
      <c r="U634" s="29">
        <v>98.12</v>
      </c>
      <c r="V634" s="26">
        <v>6</v>
      </c>
      <c r="W634" s="29">
        <v>300.63</v>
      </c>
      <c r="X634" s="26">
        <v>88568</v>
      </c>
      <c r="Y634" s="35">
        <v>8.27</v>
      </c>
      <c r="Z634" s="1" t="s">
        <v>3013</v>
      </c>
      <c r="AA634" s="36">
        <v>30.588000000000001</v>
      </c>
      <c r="AB634" s="54">
        <v>135.28349999999998</v>
      </c>
      <c r="AC634" s="54">
        <v>27.557750000000002</v>
      </c>
      <c r="AD634" s="36">
        <v>149.68199999999999</v>
      </c>
    </row>
    <row r="635" spans="1:30" s="37" customFormat="1" ht="15.75" customHeight="1" x14ac:dyDescent="0.2">
      <c r="A635" s="26">
        <v>868</v>
      </c>
      <c r="B635" s="27" t="s">
        <v>1368</v>
      </c>
      <c r="C635" s="27" t="s">
        <v>3094</v>
      </c>
      <c r="D635" s="28">
        <v>0.04</v>
      </c>
      <c r="E635" s="29">
        <v>29.18</v>
      </c>
      <c r="F635" s="29">
        <v>8.5500000000000007</v>
      </c>
      <c r="G635" s="30" t="s">
        <v>87</v>
      </c>
      <c r="H635" s="27" t="s">
        <v>94</v>
      </c>
      <c r="I635" s="27" t="s">
        <v>29</v>
      </c>
      <c r="J635" s="27" t="s">
        <v>126</v>
      </c>
      <c r="K635" s="27" t="s">
        <v>73</v>
      </c>
      <c r="L635" s="31" t="s">
        <v>1369</v>
      </c>
      <c r="M635" s="32">
        <v>0.42</v>
      </c>
      <c r="N635" s="27" t="s">
        <v>33</v>
      </c>
      <c r="O635" s="27" t="s">
        <v>53</v>
      </c>
      <c r="P635" s="27" t="s">
        <v>84</v>
      </c>
      <c r="Q635" s="27" t="s">
        <v>1370</v>
      </c>
      <c r="R635" s="33">
        <v>55126</v>
      </c>
      <c r="S635" s="34">
        <v>42060</v>
      </c>
      <c r="T635" s="34">
        <v>42062</v>
      </c>
      <c r="U635" s="29">
        <v>201.7353</v>
      </c>
      <c r="V635" s="26">
        <v>10</v>
      </c>
      <c r="W635" s="29">
        <v>292.37</v>
      </c>
      <c r="X635" s="26">
        <v>91194</v>
      </c>
      <c r="Y635" s="35">
        <v>50.879999999999995</v>
      </c>
      <c r="Z635" s="1" t="s">
        <v>3012</v>
      </c>
      <c r="AA635" s="36">
        <v>11.672000000000001</v>
      </c>
      <c r="AB635" s="54">
        <v>169.57460000000003</v>
      </c>
      <c r="AC635" s="54">
        <v>12.279540000000001</v>
      </c>
      <c r="AD635" s="36">
        <v>70.412700000000001</v>
      </c>
    </row>
    <row r="636" spans="1:30" s="37" customFormat="1" ht="15.75" customHeight="1" x14ac:dyDescent="0.2">
      <c r="A636" s="26">
        <v>1199</v>
      </c>
      <c r="B636" s="27" t="s">
        <v>1354</v>
      </c>
      <c r="C636" s="27" t="s">
        <v>38</v>
      </c>
      <c r="D636" s="28">
        <v>0.1</v>
      </c>
      <c r="E636" s="29">
        <v>15.14</v>
      </c>
      <c r="F636" s="29">
        <v>4.53</v>
      </c>
      <c r="G636" s="30" t="s">
        <v>39</v>
      </c>
      <c r="H636" s="27" t="s">
        <v>40</v>
      </c>
      <c r="I636" s="27" t="s">
        <v>49</v>
      </c>
      <c r="J636" s="27" t="s">
        <v>78</v>
      </c>
      <c r="K636" s="27" t="s">
        <v>73</v>
      </c>
      <c r="L636" s="31" t="s">
        <v>1355</v>
      </c>
      <c r="M636" s="32">
        <v>0.81</v>
      </c>
      <c r="N636" s="27" t="s">
        <v>33</v>
      </c>
      <c r="O636" s="27" t="s">
        <v>111</v>
      </c>
      <c r="P636" s="27" t="s">
        <v>1356</v>
      </c>
      <c r="Q636" s="27" t="s">
        <v>1357</v>
      </c>
      <c r="R636" s="33">
        <v>3060</v>
      </c>
      <c r="S636" s="34">
        <v>42060</v>
      </c>
      <c r="T636" s="34">
        <v>42063</v>
      </c>
      <c r="U636" s="29">
        <v>-24.897600000000001</v>
      </c>
      <c r="V636" s="26">
        <v>5</v>
      </c>
      <c r="W636" s="29">
        <v>75.17</v>
      </c>
      <c r="X636" s="26">
        <v>87585</v>
      </c>
      <c r="Y636" s="35">
        <v>2.54</v>
      </c>
      <c r="Z636" s="1" t="s">
        <v>3014</v>
      </c>
      <c r="AA636" s="36">
        <v>7.5700000000000012</v>
      </c>
      <c r="AB636" s="54">
        <v>14.282299999999996</v>
      </c>
      <c r="AC636" s="54">
        <v>12.177540000000002</v>
      </c>
      <c r="AD636" s="36">
        <v>87.967600000000004</v>
      </c>
    </row>
    <row r="637" spans="1:30" s="37" customFormat="1" ht="15.75" customHeight="1" x14ac:dyDescent="0.2">
      <c r="A637" s="26">
        <v>2980</v>
      </c>
      <c r="B637" s="27" t="s">
        <v>821</v>
      </c>
      <c r="C637" s="27" t="s">
        <v>116</v>
      </c>
      <c r="D637" s="28">
        <v>7.0000000000000007E-2</v>
      </c>
      <c r="E637" s="29">
        <v>2.61</v>
      </c>
      <c r="F637" s="29">
        <v>0.5</v>
      </c>
      <c r="G637" s="30" t="s">
        <v>39</v>
      </c>
      <c r="H637" s="27" t="s">
        <v>94</v>
      </c>
      <c r="I637" s="27" t="s">
        <v>49</v>
      </c>
      <c r="J637" s="27" t="s">
        <v>152</v>
      </c>
      <c r="K637" s="27" t="s">
        <v>73</v>
      </c>
      <c r="L637" s="31" t="s">
        <v>1367</v>
      </c>
      <c r="M637" s="32">
        <v>0.39</v>
      </c>
      <c r="N637" s="27" t="s">
        <v>33</v>
      </c>
      <c r="O637" s="27" t="s">
        <v>111</v>
      </c>
      <c r="P637" s="27" t="s">
        <v>317</v>
      </c>
      <c r="Q637" s="27" t="s">
        <v>823</v>
      </c>
      <c r="R637" s="33">
        <v>44870</v>
      </c>
      <c r="S637" s="34">
        <v>42060</v>
      </c>
      <c r="T637" s="34">
        <v>42062</v>
      </c>
      <c r="U637" s="29">
        <v>10.798500000000001</v>
      </c>
      <c r="V637" s="26">
        <v>6</v>
      </c>
      <c r="W637" s="29">
        <v>15.65</v>
      </c>
      <c r="X637" s="26">
        <v>86547</v>
      </c>
      <c r="Y637" s="35">
        <v>29.14</v>
      </c>
      <c r="Z637" s="1" t="s">
        <v>3014</v>
      </c>
      <c r="AA637" s="36">
        <v>1.0962000000000001</v>
      </c>
      <c r="AB637" s="54">
        <v>9.5465</v>
      </c>
      <c r="AC637" s="54">
        <v>1.01725</v>
      </c>
      <c r="AD637" s="36">
        <v>3.2553000000000001</v>
      </c>
    </row>
    <row r="638" spans="1:30" s="37" customFormat="1" ht="15.75" customHeight="1" x14ac:dyDescent="0.2">
      <c r="A638" s="26">
        <v>2361</v>
      </c>
      <c r="B638" s="27" t="s">
        <v>1362</v>
      </c>
      <c r="C638" s="27" t="s">
        <v>38</v>
      </c>
      <c r="D638" s="28">
        <v>0.06</v>
      </c>
      <c r="E638" s="29">
        <v>8.33</v>
      </c>
      <c r="F638" s="29">
        <v>1.99</v>
      </c>
      <c r="G638" s="30" t="s">
        <v>39</v>
      </c>
      <c r="H638" s="27" t="s">
        <v>94</v>
      </c>
      <c r="I638" s="27" t="s">
        <v>41</v>
      </c>
      <c r="J638" s="27" t="s">
        <v>42</v>
      </c>
      <c r="K638" s="27" t="s">
        <v>43</v>
      </c>
      <c r="L638" s="31" t="s">
        <v>1174</v>
      </c>
      <c r="M638" s="32">
        <v>0.52</v>
      </c>
      <c r="N638" s="27" t="s">
        <v>33</v>
      </c>
      <c r="O638" s="27" t="s">
        <v>34</v>
      </c>
      <c r="P638" s="27" t="s">
        <v>123</v>
      </c>
      <c r="Q638" s="27" t="s">
        <v>1363</v>
      </c>
      <c r="R638" s="33">
        <v>32259</v>
      </c>
      <c r="S638" s="34">
        <v>42060</v>
      </c>
      <c r="T638" s="34">
        <v>42061</v>
      </c>
      <c r="U638" s="29">
        <v>-344.82</v>
      </c>
      <c r="V638" s="26">
        <v>1</v>
      </c>
      <c r="W638" s="29">
        <v>8.49</v>
      </c>
      <c r="X638" s="26">
        <v>88266</v>
      </c>
      <c r="Y638" s="35">
        <v>80.98</v>
      </c>
      <c r="Z638" s="1" t="s">
        <v>3011</v>
      </c>
      <c r="AA638" s="36">
        <v>0.49979999999999997</v>
      </c>
      <c r="AB638" s="54">
        <v>4.0751999999999997</v>
      </c>
      <c r="AC638" s="54">
        <v>4.4148000000000005</v>
      </c>
      <c r="AD638" s="36">
        <v>350.8202</v>
      </c>
    </row>
    <row r="639" spans="1:30" s="37" customFormat="1" ht="15.75" customHeight="1" x14ac:dyDescent="0.2">
      <c r="A639" s="26">
        <v>3063</v>
      </c>
      <c r="B639" s="27" t="s">
        <v>1391</v>
      </c>
      <c r="C639" s="27" t="s">
        <v>116</v>
      </c>
      <c r="D639" s="28">
        <v>0.03</v>
      </c>
      <c r="E639" s="29">
        <v>499.99</v>
      </c>
      <c r="F639" s="29">
        <v>24.49</v>
      </c>
      <c r="G639" s="30" t="s">
        <v>39</v>
      </c>
      <c r="H639" s="27" t="s">
        <v>40</v>
      </c>
      <c r="I639" s="27" t="s">
        <v>41</v>
      </c>
      <c r="J639" s="27" t="s">
        <v>64</v>
      </c>
      <c r="K639" s="27" t="s">
        <v>65</v>
      </c>
      <c r="L639" s="31" t="s">
        <v>1393</v>
      </c>
      <c r="M639" s="32">
        <v>0.36</v>
      </c>
      <c r="N639" s="27" t="s">
        <v>33</v>
      </c>
      <c r="O639" s="27" t="s">
        <v>60</v>
      </c>
      <c r="P639" s="27" t="s">
        <v>67</v>
      </c>
      <c r="Q639" s="27" t="s">
        <v>1392</v>
      </c>
      <c r="R639" s="33">
        <v>98034</v>
      </c>
      <c r="S639" s="34">
        <v>42061</v>
      </c>
      <c r="T639" s="34">
        <v>42062</v>
      </c>
      <c r="U639" s="29">
        <v>1773.6105</v>
      </c>
      <c r="V639" s="26">
        <v>5</v>
      </c>
      <c r="W639" s="29">
        <v>2570.4499999999998</v>
      </c>
      <c r="X639" s="26">
        <v>88447</v>
      </c>
      <c r="Y639" s="35">
        <v>35.9</v>
      </c>
      <c r="Z639" s="1" t="s">
        <v>3013</v>
      </c>
      <c r="AA639" s="36">
        <v>74.998499999999993</v>
      </c>
      <c r="AB639" s="54">
        <v>1645.088</v>
      </c>
      <c r="AC639" s="54">
        <v>185.07239999999996</v>
      </c>
      <c r="AD639" s="36">
        <v>697.35099999999989</v>
      </c>
    </row>
    <row r="640" spans="1:30" s="37" customFormat="1" ht="15.75" customHeight="1" x14ac:dyDescent="0.2">
      <c r="A640" s="26">
        <v>622</v>
      </c>
      <c r="B640" s="27" t="s">
        <v>1390</v>
      </c>
      <c r="C640" s="27" t="s">
        <v>116</v>
      </c>
      <c r="D640" s="28">
        <v>0.06</v>
      </c>
      <c r="E640" s="29">
        <v>195.99</v>
      </c>
      <c r="F640" s="29">
        <v>8.99</v>
      </c>
      <c r="G640" s="30" t="s">
        <v>39</v>
      </c>
      <c r="H640" s="27" t="s">
        <v>71</v>
      </c>
      <c r="I640" s="27" t="s">
        <v>41</v>
      </c>
      <c r="J640" s="27" t="s">
        <v>135</v>
      </c>
      <c r="K640" s="27" t="s">
        <v>73</v>
      </c>
      <c r="L640" s="31" t="s">
        <v>1343</v>
      </c>
      <c r="M640" s="32">
        <v>0.6</v>
      </c>
      <c r="N640" s="27" t="s">
        <v>33</v>
      </c>
      <c r="O640" s="27" t="s">
        <v>111</v>
      </c>
      <c r="P640" s="27" t="s">
        <v>331</v>
      </c>
      <c r="Q640" s="27" t="s">
        <v>1204</v>
      </c>
      <c r="R640" s="33">
        <v>4210</v>
      </c>
      <c r="S640" s="34">
        <v>42061</v>
      </c>
      <c r="T640" s="34">
        <v>42063</v>
      </c>
      <c r="U640" s="29">
        <v>349.47</v>
      </c>
      <c r="V640" s="26">
        <v>6</v>
      </c>
      <c r="W640" s="29">
        <v>948.97</v>
      </c>
      <c r="X640" s="26">
        <v>91432</v>
      </c>
      <c r="Y640" s="35">
        <v>55.4</v>
      </c>
      <c r="Z640" s="1" t="s">
        <v>3014</v>
      </c>
      <c r="AA640" s="36">
        <v>70.556399999999996</v>
      </c>
      <c r="AB640" s="54">
        <v>379.58800000000002</v>
      </c>
      <c r="AC640" s="54">
        <v>94.896999999999991</v>
      </c>
      <c r="AD640" s="36">
        <v>519.95360000000005</v>
      </c>
    </row>
    <row r="641" spans="1:30" s="37" customFormat="1" ht="15.75" customHeight="1" x14ac:dyDescent="0.2">
      <c r="A641" s="26">
        <v>2114</v>
      </c>
      <c r="B641" s="27" t="s">
        <v>1375</v>
      </c>
      <c r="C641" s="27" t="s">
        <v>26</v>
      </c>
      <c r="D641" s="28">
        <v>0.08</v>
      </c>
      <c r="E641" s="29">
        <v>20.98</v>
      </c>
      <c r="F641" s="29">
        <v>53.03</v>
      </c>
      <c r="G641" s="30" t="s">
        <v>27</v>
      </c>
      <c r="H641" s="27" t="s">
        <v>94</v>
      </c>
      <c r="I641" s="27" t="s">
        <v>49</v>
      </c>
      <c r="J641" s="27" t="s">
        <v>78</v>
      </c>
      <c r="K641" s="27" t="s">
        <v>58</v>
      </c>
      <c r="L641" s="31" t="s">
        <v>1090</v>
      </c>
      <c r="M641" s="32">
        <v>0.78</v>
      </c>
      <c r="N641" s="27" t="s">
        <v>33</v>
      </c>
      <c r="O641" s="27" t="s">
        <v>34</v>
      </c>
      <c r="P641" s="27" t="s">
        <v>242</v>
      </c>
      <c r="Q641" s="27" t="s">
        <v>1377</v>
      </c>
      <c r="R641" s="33">
        <v>23518</v>
      </c>
      <c r="S641" s="34">
        <v>42061</v>
      </c>
      <c r="T641" s="34">
        <v>42063</v>
      </c>
      <c r="U641" s="29">
        <v>8.7420000000000009</v>
      </c>
      <c r="V641" s="26">
        <v>20</v>
      </c>
      <c r="W641" s="29">
        <v>421.18</v>
      </c>
      <c r="X641" s="26">
        <v>88405</v>
      </c>
      <c r="Y641" s="35">
        <v>226.6</v>
      </c>
      <c r="Z641" s="1" t="s">
        <v>3011</v>
      </c>
      <c r="AA641" s="36">
        <v>33.568000000000005</v>
      </c>
      <c r="AB641" s="54">
        <v>92.659599999999983</v>
      </c>
      <c r="AC641" s="54">
        <v>16.426020000000001</v>
      </c>
      <c r="AD641" s="36">
        <v>325.84000000000003</v>
      </c>
    </row>
    <row r="642" spans="1:30" s="37" customFormat="1" ht="15.75" customHeight="1" x14ac:dyDescent="0.2">
      <c r="A642" s="26">
        <v>573</v>
      </c>
      <c r="B642" s="27" t="s">
        <v>1380</v>
      </c>
      <c r="C642" s="27" t="s">
        <v>38</v>
      </c>
      <c r="D642" s="28">
        <v>0.08</v>
      </c>
      <c r="E642" s="29">
        <v>415.88</v>
      </c>
      <c r="F642" s="29">
        <v>11.37</v>
      </c>
      <c r="G642" s="30" t="s">
        <v>39</v>
      </c>
      <c r="H642" s="27" t="s">
        <v>94</v>
      </c>
      <c r="I642" s="27" t="s">
        <v>49</v>
      </c>
      <c r="J642" s="27" t="s">
        <v>78</v>
      </c>
      <c r="K642" s="27" t="s">
        <v>73</v>
      </c>
      <c r="L642" s="31" t="s">
        <v>1381</v>
      </c>
      <c r="M642" s="32">
        <v>0.56999999999999995</v>
      </c>
      <c r="N642" s="27" t="s">
        <v>33</v>
      </c>
      <c r="O642" s="27" t="s">
        <v>53</v>
      </c>
      <c r="P642" s="27" t="s">
        <v>103</v>
      </c>
      <c r="Q642" s="27" t="s">
        <v>1382</v>
      </c>
      <c r="R642" s="33">
        <v>61554</v>
      </c>
      <c r="S642" s="34">
        <v>42061</v>
      </c>
      <c r="T642" s="34">
        <v>42062</v>
      </c>
      <c r="U642" s="29">
        <v>-269.08440000000002</v>
      </c>
      <c r="V642" s="26">
        <v>1</v>
      </c>
      <c r="W642" s="29">
        <v>405.57</v>
      </c>
      <c r="X642" s="26">
        <v>86556</v>
      </c>
      <c r="Y642" s="35">
        <v>20.900000000000002</v>
      </c>
      <c r="Z642" s="1" t="s">
        <v>3012</v>
      </c>
      <c r="AA642" s="36">
        <v>33.270400000000002</v>
      </c>
      <c r="AB642" s="54">
        <v>174.39510000000001</v>
      </c>
      <c r="AC642" s="54">
        <v>231.17489999999998</v>
      </c>
      <c r="AD642" s="36">
        <v>630.01400000000001</v>
      </c>
    </row>
    <row r="643" spans="1:30" s="37" customFormat="1" ht="15.75" customHeight="1" x14ac:dyDescent="0.2">
      <c r="A643" s="26">
        <v>2114</v>
      </c>
      <c r="B643" s="27" t="s">
        <v>1375</v>
      </c>
      <c r="C643" s="27" t="s">
        <v>26</v>
      </c>
      <c r="D643" s="28">
        <v>7.0000000000000007E-2</v>
      </c>
      <c r="E643" s="29">
        <v>226.67</v>
      </c>
      <c r="F643" s="29">
        <v>28.16</v>
      </c>
      <c r="G643" s="30" t="s">
        <v>27</v>
      </c>
      <c r="H643" s="27" t="s">
        <v>94</v>
      </c>
      <c r="I643" s="27" t="s">
        <v>29</v>
      </c>
      <c r="J643" s="27" t="s">
        <v>109</v>
      </c>
      <c r="K643" s="27" t="s">
        <v>58</v>
      </c>
      <c r="L643" s="31" t="s">
        <v>1376</v>
      </c>
      <c r="M643" s="32">
        <v>0.59</v>
      </c>
      <c r="N643" s="27" t="s">
        <v>33</v>
      </c>
      <c r="O643" s="27" t="s">
        <v>34</v>
      </c>
      <c r="P643" s="27" t="s">
        <v>242</v>
      </c>
      <c r="Q643" s="27" t="s">
        <v>1377</v>
      </c>
      <c r="R643" s="33">
        <v>23518</v>
      </c>
      <c r="S643" s="34">
        <v>42061</v>
      </c>
      <c r="T643" s="34">
        <v>42062</v>
      </c>
      <c r="U643" s="29">
        <v>53.114400000000003</v>
      </c>
      <c r="V643" s="26">
        <v>1</v>
      </c>
      <c r="W643" s="29">
        <v>255.83</v>
      </c>
      <c r="X643" s="26">
        <v>88405</v>
      </c>
      <c r="Y643" s="35">
        <v>5.32</v>
      </c>
      <c r="Z643" s="1" t="s">
        <v>3011</v>
      </c>
      <c r="AA643" s="36">
        <v>15.866900000000001</v>
      </c>
      <c r="AB643" s="54">
        <v>104.89030000000001</v>
      </c>
      <c r="AC643" s="54">
        <v>150.93969999999999</v>
      </c>
      <c r="AD643" s="36">
        <v>158.68870000000001</v>
      </c>
    </row>
    <row r="644" spans="1:30" s="37" customFormat="1" ht="15.75" customHeight="1" x14ac:dyDescent="0.2">
      <c r="A644" s="26">
        <v>2979</v>
      </c>
      <c r="B644" s="27" t="s">
        <v>818</v>
      </c>
      <c r="C644" s="27" t="s">
        <v>26</v>
      </c>
      <c r="D644" s="28">
        <v>0.03</v>
      </c>
      <c r="E644" s="29">
        <v>40.98</v>
      </c>
      <c r="F644" s="29">
        <v>7.47</v>
      </c>
      <c r="G644" s="30" t="s">
        <v>39</v>
      </c>
      <c r="H644" s="27" t="s">
        <v>94</v>
      </c>
      <c r="I644" s="27" t="s">
        <v>49</v>
      </c>
      <c r="J644" s="27" t="s">
        <v>72</v>
      </c>
      <c r="K644" s="27" t="s">
        <v>73</v>
      </c>
      <c r="L644" s="31" t="s">
        <v>1379</v>
      </c>
      <c r="M644" s="32">
        <v>0.37</v>
      </c>
      <c r="N644" s="27" t="s">
        <v>33</v>
      </c>
      <c r="O644" s="27" t="s">
        <v>53</v>
      </c>
      <c r="P644" s="27" t="s">
        <v>565</v>
      </c>
      <c r="Q644" s="27" t="s">
        <v>820</v>
      </c>
      <c r="R644" s="33">
        <v>58601</v>
      </c>
      <c r="S644" s="34">
        <v>42061</v>
      </c>
      <c r="T644" s="34">
        <v>42062</v>
      </c>
      <c r="U644" s="29">
        <v>170.79570000000001</v>
      </c>
      <c r="V644" s="26">
        <v>6</v>
      </c>
      <c r="W644" s="29">
        <v>247.53</v>
      </c>
      <c r="X644" s="26">
        <v>86545</v>
      </c>
      <c r="Y644" s="35">
        <v>40.949999999999996</v>
      </c>
      <c r="Z644" s="1" t="s">
        <v>3012</v>
      </c>
      <c r="AA644" s="36">
        <v>7.3763999999999985</v>
      </c>
      <c r="AB644" s="54">
        <v>155.94390000000001</v>
      </c>
      <c r="AC644" s="54">
        <v>15.26435</v>
      </c>
      <c r="AD644" s="36">
        <v>61.887900000000002</v>
      </c>
    </row>
    <row r="645" spans="1:30" s="37" customFormat="1" ht="15.75" customHeight="1" x14ac:dyDescent="0.2">
      <c r="A645" s="26">
        <v>1639</v>
      </c>
      <c r="B645" s="27" t="s">
        <v>1373</v>
      </c>
      <c r="C645" s="27" t="s">
        <v>26</v>
      </c>
      <c r="D645" s="28">
        <v>0.08</v>
      </c>
      <c r="E645" s="29">
        <v>55.48</v>
      </c>
      <c r="F645" s="29">
        <v>6.79</v>
      </c>
      <c r="G645" s="30" t="s">
        <v>39</v>
      </c>
      <c r="H645" s="27" t="s">
        <v>71</v>
      </c>
      <c r="I645" s="27" t="s">
        <v>49</v>
      </c>
      <c r="J645" s="27" t="s">
        <v>88</v>
      </c>
      <c r="K645" s="27" t="s">
        <v>73</v>
      </c>
      <c r="L645" s="31" t="s">
        <v>1306</v>
      </c>
      <c r="M645" s="32">
        <v>0.37</v>
      </c>
      <c r="N645" s="27" t="s">
        <v>33</v>
      </c>
      <c r="O645" s="27" t="s">
        <v>111</v>
      </c>
      <c r="P645" s="27" t="s">
        <v>248</v>
      </c>
      <c r="Q645" s="27" t="s">
        <v>1374</v>
      </c>
      <c r="R645" s="33">
        <v>6901</v>
      </c>
      <c r="S645" s="34">
        <v>42061</v>
      </c>
      <c r="T645" s="34">
        <v>42063</v>
      </c>
      <c r="U645" s="29">
        <v>147.75659999999999</v>
      </c>
      <c r="V645" s="26">
        <v>4</v>
      </c>
      <c r="W645" s="29">
        <v>214.14</v>
      </c>
      <c r="X645" s="26">
        <v>89705</v>
      </c>
      <c r="Y645" s="35">
        <v>415.8</v>
      </c>
      <c r="Z645" s="1" t="s">
        <v>3014</v>
      </c>
      <c r="AA645" s="36">
        <v>17.753599999999999</v>
      </c>
      <c r="AB645" s="54">
        <v>134.90819999999999</v>
      </c>
      <c r="AC645" s="54">
        <v>19.807949999999998</v>
      </c>
      <c r="AD645" s="36">
        <v>41.839799999999997</v>
      </c>
    </row>
    <row r="646" spans="1:30" s="37" customFormat="1" ht="15.75" customHeight="1" x14ac:dyDescent="0.2">
      <c r="A646" s="26">
        <v>907</v>
      </c>
      <c r="B646" s="27" t="s">
        <v>1371</v>
      </c>
      <c r="C646" s="27" t="s">
        <v>26</v>
      </c>
      <c r="D646" s="28">
        <v>0.09</v>
      </c>
      <c r="E646" s="29">
        <v>35.99</v>
      </c>
      <c r="F646" s="29">
        <v>5.99</v>
      </c>
      <c r="G646" s="30" t="s">
        <v>39</v>
      </c>
      <c r="H646" s="27" t="s">
        <v>71</v>
      </c>
      <c r="I646" s="27" t="s">
        <v>41</v>
      </c>
      <c r="J646" s="27" t="s">
        <v>135</v>
      </c>
      <c r="K646" s="27" t="s">
        <v>51</v>
      </c>
      <c r="L646" s="31" t="s">
        <v>1372</v>
      </c>
      <c r="M646" s="32">
        <v>0.38</v>
      </c>
      <c r="N646" s="27" t="s">
        <v>33</v>
      </c>
      <c r="O646" s="27" t="s">
        <v>34</v>
      </c>
      <c r="P646" s="27" t="s">
        <v>388</v>
      </c>
      <c r="Q646" s="27" t="s">
        <v>466</v>
      </c>
      <c r="R646" s="33">
        <v>42420</v>
      </c>
      <c r="S646" s="34">
        <v>42061</v>
      </c>
      <c r="T646" s="34">
        <v>42062</v>
      </c>
      <c r="U646" s="29">
        <v>114.3165</v>
      </c>
      <c r="V646" s="26">
        <v>5</v>
      </c>
      <c r="W646" s="29">
        <v>151.6</v>
      </c>
      <c r="X646" s="26">
        <v>86459</v>
      </c>
      <c r="Y646" s="35">
        <v>3.5</v>
      </c>
      <c r="Z646" s="1" t="s">
        <v>3011</v>
      </c>
      <c r="AA646" s="36">
        <v>16.195499999999999</v>
      </c>
      <c r="AB646" s="54">
        <v>93.99199999999999</v>
      </c>
      <c r="AC646" s="54">
        <v>11.521599999999999</v>
      </c>
      <c r="AD646" s="36">
        <v>15.097999999999985</v>
      </c>
    </row>
    <row r="647" spans="1:30" s="37" customFormat="1" ht="15.75" customHeight="1" x14ac:dyDescent="0.2">
      <c r="A647" s="26">
        <v>865</v>
      </c>
      <c r="B647" s="27" t="s">
        <v>1386</v>
      </c>
      <c r="C647" s="27" t="s">
        <v>48</v>
      </c>
      <c r="D647" s="28">
        <v>0.04</v>
      </c>
      <c r="E647" s="29">
        <v>6.48</v>
      </c>
      <c r="F647" s="29">
        <v>5.16</v>
      </c>
      <c r="G647" s="30" t="s">
        <v>87</v>
      </c>
      <c r="H647" s="27" t="s">
        <v>94</v>
      </c>
      <c r="I647" s="27" t="s">
        <v>49</v>
      </c>
      <c r="J647" s="27" t="s">
        <v>88</v>
      </c>
      <c r="K647" s="27" t="s">
        <v>73</v>
      </c>
      <c r="L647" s="31" t="s">
        <v>1387</v>
      </c>
      <c r="M647" s="32">
        <v>0.37</v>
      </c>
      <c r="N647" s="27" t="s">
        <v>33</v>
      </c>
      <c r="O647" s="27" t="s">
        <v>53</v>
      </c>
      <c r="P647" s="27" t="s">
        <v>54</v>
      </c>
      <c r="Q647" s="27" t="s">
        <v>1042</v>
      </c>
      <c r="R647" s="33">
        <v>46312</v>
      </c>
      <c r="S647" s="34">
        <v>42061</v>
      </c>
      <c r="T647" s="34">
        <v>42065</v>
      </c>
      <c r="U647" s="29">
        <v>-11.1332</v>
      </c>
      <c r="V647" s="26">
        <v>12</v>
      </c>
      <c r="W647" s="29">
        <v>86.79</v>
      </c>
      <c r="X647" s="26">
        <v>90675</v>
      </c>
      <c r="Y647" s="35">
        <v>6.44</v>
      </c>
      <c r="Z647" s="1" t="s">
        <v>3012</v>
      </c>
      <c r="AA647" s="36">
        <v>3.1104000000000003</v>
      </c>
      <c r="AB647" s="54">
        <v>54.677700000000002</v>
      </c>
      <c r="AC647" s="54">
        <v>2.6760250000000001</v>
      </c>
      <c r="AD647" s="36">
        <v>89.652800000000013</v>
      </c>
    </row>
    <row r="648" spans="1:30" s="37" customFormat="1" ht="15.75" customHeight="1" x14ac:dyDescent="0.2">
      <c r="A648" s="26">
        <v>3063</v>
      </c>
      <c r="B648" s="27" t="s">
        <v>1391</v>
      </c>
      <c r="C648" s="27" t="s">
        <v>116</v>
      </c>
      <c r="D648" s="28">
        <v>7.0000000000000007E-2</v>
      </c>
      <c r="E648" s="29">
        <v>8.33</v>
      </c>
      <c r="F648" s="29">
        <v>1.99</v>
      </c>
      <c r="G648" s="30" t="s">
        <v>39</v>
      </c>
      <c r="H648" s="27" t="s">
        <v>40</v>
      </c>
      <c r="I648" s="27" t="s">
        <v>41</v>
      </c>
      <c r="J648" s="27" t="s">
        <v>42</v>
      </c>
      <c r="K648" s="27" t="s">
        <v>43</v>
      </c>
      <c r="L648" s="31" t="s">
        <v>1174</v>
      </c>
      <c r="M648" s="32">
        <v>0.52</v>
      </c>
      <c r="N648" s="27" t="s">
        <v>33</v>
      </c>
      <c r="O648" s="27" t="s">
        <v>60</v>
      </c>
      <c r="P648" s="27" t="s">
        <v>67</v>
      </c>
      <c r="Q648" s="27" t="s">
        <v>1392</v>
      </c>
      <c r="R648" s="33">
        <v>98034</v>
      </c>
      <c r="S648" s="34">
        <v>42061</v>
      </c>
      <c r="T648" s="34">
        <v>42063</v>
      </c>
      <c r="U648" s="29">
        <v>11.95</v>
      </c>
      <c r="V648" s="26">
        <v>6</v>
      </c>
      <c r="W648" s="29">
        <v>50.28</v>
      </c>
      <c r="X648" s="26">
        <v>88447</v>
      </c>
      <c r="Y648" s="35">
        <v>6.78</v>
      </c>
      <c r="Z648" s="1" t="s">
        <v>3013</v>
      </c>
      <c r="AA648" s="36">
        <v>3.4986000000000006</v>
      </c>
      <c r="AB648" s="54">
        <v>24.134399999999999</v>
      </c>
      <c r="AC648" s="54">
        <v>4.3576000000000006</v>
      </c>
      <c r="AD648" s="36">
        <v>32.8414</v>
      </c>
    </row>
    <row r="649" spans="1:30" s="37" customFormat="1" ht="15.75" customHeight="1" x14ac:dyDescent="0.2">
      <c r="A649" s="26">
        <v>2979</v>
      </c>
      <c r="B649" s="27" t="s">
        <v>818</v>
      </c>
      <c r="C649" s="27" t="s">
        <v>26</v>
      </c>
      <c r="D649" s="28">
        <v>0.02</v>
      </c>
      <c r="E649" s="29">
        <v>5.34</v>
      </c>
      <c r="F649" s="29">
        <v>2.99</v>
      </c>
      <c r="G649" s="30" t="s">
        <v>39</v>
      </c>
      <c r="H649" s="27" t="s">
        <v>94</v>
      </c>
      <c r="I649" s="27" t="s">
        <v>49</v>
      </c>
      <c r="J649" s="27" t="s">
        <v>72</v>
      </c>
      <c r="K649" s="27" t="s">
        <v>73</v>
      </c>
      <c r="L649" s="31" t="s">
        <v>1378</v>
      </c>
      <c r="M649" s="32">
        <v>0.38</v>
      </c>
      <c r="N649" s="27" t="s">
        <v>33</v>
      </c>
      <c r="O649" s="27" t="s">
        <v>53</v>
      </c>
      <c r="P649" s="27" t="s">
        <v>565</v>
      </c>
      <c r="Q649" s="27" t="s">
        <v>820</v>
      </c>
      <c r="R649" s="33">
        <v>58601</v>
      </c>
      <c r="S649" s="34">
        <v>42061</v>
      </c>
      <c r="T649" s="34">
        <v>42063</v>
      </c>
      <c r="U649" s="29">
        <v>5.2954999999999997</v>
      </c>
      <c r="V649" s="26">
        <v>6</v>
      </c>
      <c r="W649" s="29">
        <v>34.729999999999997</v>
      </c>
      <c r="X649" s="26">
        <v>86545</v>
      </c>
      <c r="Y649" s="35">
        <v>195.93</v>
      </c>
      <c r="Z649" s="1" t="s">
        <v>3012</v>
      </c>
      <c r="AA649" s="36">
        <v>0.64080000000000004</v>
      </c>
      <c r="AB649" s="54">
        <v>21.532599999999999</v>
      </c>
      <c r="AC649" s="54">
        <v>2.1995666666666667</v>
      </c>
      <c r="AD649" s="36">
        <v>25.803699999999999</v>
      </c>
    </row>
    <row r="650" spans="1:30" s="37" customFormat="1" ht="15.75" customHeight="1" x14ac:dyDescent="0.2">
      <c r="A650" s="26">
        <v>621</v>
      </c>
      <c r="B650" s="27" t="s">
        <v>1388</v>
      </c>
      <c r="C650" s="27" t="s">
        <v>116</v>
      </c>
      <c r="D650" s="28">
        <v>0.1</v>
      </c>
      <c r="E650" s="29">
        <v>6.88</v>
      </c>
      <c r="F650" s="29">
        <v>2</v>
      </c>
      <c r="G650" s="30" t="s">
        <v>39</v>
      </c>
      <c r="H650" s="27" t="s">
        <v>71</v>
      </c>
      <c r="I650" s="27" t="s">
        <v>49</v>
      </c>
      <c r="J650" s="27" t="s">
        <v>88</v>
      </c>
      <c r="K650" s="27" t="s">
        <v>51</v>
      </c>
      <c r="L650" s="31" t="s">
        <v>852</v>
      </c>
      <c r="M650" s="32">
        <v>0.39</v>
      </c>
      <c r="N650" s="27" t="s">
        <v>33</v>
      </c>
      <c r="O650" s="27" t="s">
        <v>111</v>
      </c>
      <c r="P650" s="27" t="s">
        <v>248</v>
      </c>
      <c r="Q650" s="27" t="s">
        <v>1389</v>
      </c>
      <c r="R650" s="33">
        <v>6111</v>
      </c>
      <c r="S650" s="34">
        <v>42061</v>
      </c>
      <c r="T650" s="34">
        <v>42062</v>
      </c>
      <c r="U650" s="29">
        <v>18.420000000000002</v>
      </c>
      <c r="V650" s="26">
        <v>5</v>
      </c>
      <c r="W650" s="29">
        <v>31.46</v>
      </c>
      <c r="X650" s="26">
        <v>91432</v>
      </c>
      <c r="Y650" s="35">
        <v>8.26</v>
      </c>
      <c r="Z650" s="1" t="s">
        <v>3014</v>
      </c>
      <c r="AA650" s="36">
        <v>3.4400000000000004</v>
      </c>
      <c r="AB650" s="54">
        <v>19.1906</v>
      </c>
      <c r="AC650" s="54">
        <v>2.4538799999999998</v>
      </c>
      <c r="AD650" s="36">
        <v>7.5999999999999979</v>
      </c>
    </row>
    <row r="651" spans="1:30" s="37" customFormat="1" ht="15.75" customHeight="1" x14ac:dyDescent="0.2">
      <c r="A651" s="26">
        <v>1665</v>
      </c>
      <c r="B651" s="27" t="s">
        <v>1383</v>
      </c>
      <c r="C651" s="27" t="s">
        <v>38</v>
      </c>
      <c r="D651" s="28">
        <v>0.1</v>
      </c>
      <c r="E651" s="29">
        <v>3.6</v>
      </c>
      <c r="F651" s="29">
        <v>2.2000000000000002</v>
      </c>
      <c r="G651" s="30" t="s">
        <v>39</v>
      </c>
      <c r="H651" s="27" t="s">
        <v>40</v>
      </c>
      <c r="I651" s="27" t="s">
        <v>49</v>
      </c>
      <c r="J651" s="27" t="s">
        <v>88</v>
      </c>
      <c r="K651" s="27" t="s">
        <v>51</v>
      </c>
      <c r="L651" s="31" t="s">
        <v>1384</v>
      </c>
      <c r="M651" s="32">
        <v>0.39</v>
      </c>
      <c r="N651" s="27" t="s">
        <v>33</v>
      </c>
      <c r="O651" s="27" t="s">
        <v>60</v>
      </c>
      <c r="P651" s="27" t="s">
        <v>90</v>
      </c>
      <c r="Q651" s="27" t="s">
        <v>1385</v>
      </c>
      <c r="R651" s="33">
        <v>92653</v>
      </c>
      <c r="S651" s="34">
        <v>42061</v>
      </c>
      <c r="T651" s="34">
        <v>42062</v>
      </c>
      <c r="U651" s="29">
        <v>-8.2799999999999994</v>
      </c>
      <c r="V651" s="26">
        <v>2</v>
      </c>
      <c r="W651" s="29">
        <v>6.97</v>
      </c>
      <c r="X651" s="26">
        <v>90678</v>
      </c>
      <c r="Y651" s="35">
        <v>499.96000000000004</v>
      </c>
      <c r="Z651" s="1" t="s">
        <v>3013</v>
      </c>
      <c r="AA651" s="36">
        <v>0.72000000000000008</v>
      </c>
      <c r="AB651" s="54">
        <v>4.2516999999999996</v>
      </c>
      <c r="AC651" s="54">
        <v>1.3591500000000001</v>
      </c>
      <c r="AD651" s="36">
        <v>12.329999999999998</v>
      </c>
    </row>
    <row r="652" spans="1:30" s="37" customFormat="1" ht="15.75" customHeight="1" x14ac:dyDescent="0.2">
      <c r="A652" s="26">
        <v>1005</v>
      </c>
      <c r="B652" s="27" t="s">
        <v>1397</v>
      </c>
      <c r="C652" s="27" t="s">
        <v>38</v>
      </c>
      <c r="D652" s="28">
        <v>0.02</v>
      </c>
      <c r="E652" s="29">
        <v>40.99</v>
      </c>
      <c r="F652" s="29">
        <v>17.48</v>
      </c>
      <c r="G652" s="30" t="s">
        <v>39</v>
      </c>
      <c r="H652" s="27" t="s">
        <v>3095</v>
      </c>
      <c r="I652" s="27" t="s">
        <v>49</v>
      </c>
      <c r="J652" s="27" t="s">
        <v>88</v>
      </c>
      <c r="K652" s="27" t="s">
        <v>73</v>
      </c>
      <c r="L652" s="31" t="s">
        <v>1398</v>
      </c>
      <c r="M652" s="32">
        <v>0.36</v>
      </c>
      <c r="N652" s="27" t="s">
        <v>33</v>
      </c>
      <c r="O652" s="27" t="s">
        <v>53</v>
      </c>
      <c r="P652" s="27" t="s">
        <v>103</v>
      </c>
      <c r="Q652" s="27" t="s">
        <v>1399</v>
      </c>
      <c r="R652" s="33">
        <v>60089</v>
      </c>
      <c r="S652" s="34">
        <v>42062</v>
      </c>
      <c r="T652" s="34">
        <v>42063</v>
      </c>
      <c r="U652" s="29">
        <v>551.09280000000001</v>
      </c>
      <c r="V652" s="26">
        <v>23</v>
      </c>
      <c r="W652" s="29">
        <v>950.43</v>
      </c>
      <c r="X652" s="26">
        <v>90044</v>
      </c>
      <c r="Y652" s="35">
        <v>11.96</v>
      </c>
      <c r="Z652" s="1" t="s">
        <v>3012</v>
      </c>
      <c r="AA652" s="36">
        <v>18.855400000000003</v>
      </c>
      <c r="AB652" s="54">
        <v>608.27519999999993</v>
      </c>
      <c r="AC652" s="54">
        <v>14.87629565217391</v>
      </c>
      <c r="AD652" s="36">
        <v>363.00179999999989</v>
      </c>
    </row>
    <row r="653" spans="1:30" s="37" customFormat="1" ht="15.75" customHeight="1" x14ac:dyDescent="0.2">
      <c r="A653" s="26">
        <v>1754</v>
      </c>
      <c r="B653" s="27" t="s">
        <v>1405</v>
      </c>
      <c r="C653" s="27" t="s">
        <v>48</v>
      </c>
      <c r="D653" s="28">
        <v>0.09</v>
      </c>
      <c r="E653" s="29">
        <v>95.99</v>
      </c>
      <c r="F653" s="29">
        <v>8.99</v>
      </c>
      <c r="G653" s="30" t="s">
        <v>39</v>
      </c>
      <c r="H653" s="27" t="s">
        <v>40</v>
      </c>
      <c r="I653" s="27" t="s">
        <v>41</v>
      </c>
      <c r="J653" s="27" t="s">
        <v>135</v>
      </c>
      <c r="K653" s="27" t="s">
        <v>73</v>
      </c>
      <c r="L653" s="31" t="s">
        <v>1408</v>
      </c>
      <c r="M653" s="32">
        <v>0.56999999999999995</v>
      </c>
      <c r="N653" s="27" t="s">
        <v>33</v>
      </c>
      <c r="O653" s="27" t="s">
        <v>60</v>
      </c>
      <c r="P653" s="27" t="s">
        <v>90</v>
      </c>
      <c r="Q653" s="27" t="s">
        <v>1407</v>
      </c>
      <c r="R653" s="33">
        <v>90503</v>
      </c>
      <c r="S653" s="34">
        <v>42062</v>
      </c>
      <c r="T653" s="34">
        <v>42066</v>
      </c>
      <c r="U653" s="29">
        <v>7.0329600000000001</v>
      </c>
      <c r="V653" s="26">
        <v>8</v>
      </c>
      <c r="W653" s="29">
        <v>627.28</v>
      </c>
      <c r="X653" s="26">
        <v>90178</v>
      </c>
      <c r="Y653" s="35">
        <v>40.97</v>
      </c>
      <c r="Z653" s="1" t="s">
        <v>3013</v>
      </c>
      <c r="AA653" s="36">
        <v>69.112799999999993</v>
      </c>
      <c r="AB653" s="54">
        <v>269.73040000000003</v>
      </c>
      <c r="AC653" s="54">
        <v>44.693699999999993</v>
      </c>
      <c r="AD653" s="36">
        <v>542.14423999999997</v>
      </c>
    </row>
    <row r="654" spans="1:30" s="37" customFormat="1" ht="15.75" customHeight="1" x14ac:dyDescent="0.2">
      <c r="A654" s="26">
        <v>1044</v>
      </c>
      <c r="B654" s="27" t="s">
        <v>1400</v>
      </c>
      <c r="C654" s="27" t="s">
        <v>38</v>
      </c>
      <c r="D654" s="28">
        <v>0</v>
      </c>
      <c r="E654" s="29">
        <v>6.68</v>
      </c>
      <c r="F654" s="29">
        <v>5.66</v>
      </c>
      <c r="G654" s="30" t="s">
        <v>39</v>
      </c>
      <c r="H654" s="27" t="s">
        <v>71</v>
      </c>
      <c r="I654" s="27" t="s">
        <v>49</v>
      </c>
      <c r="J654" s="27" t="s">
        <v>88</v>
      </c>
      <c r="K654" s="27" t="s">
        <v>73</v>
      </c>
      <c r="L654" s="31" t="s">
        <v>1050</v>
      </c>
      <c r="M654" s="32">
        <v>0.37</v>
      </c>
      <c r="N654" s="27" t="s">
        <v>33</v>
      </c>
      <c r="O654" s="27" t="s">
        <v>60</v>
      </c>
      <c r="P654" s="27" t="s">
        <v>90</v>
      </c>
      <c r="Q654" s="27" t="s">
        <v>100</v>
      </c>
      <c r="R654" s="33">
        <v>90004</v>
      </c>
      <c r="S654" s="34">
        <v>42062</v>
      </c>
      <c r="T654" s="34">
        <v>42063</v>
      </c>
      <c r="U654" s="29">
        <v>-76.94</v>
      </c>
      <c r="V654" s="26">
        <v>90</v>
      </c>
      <c r="W654" s="29">
        <v>617.4</v>
      </c>
      <c r="X654" s="26">
        <v>47813</v>
      </c>
      <c r="Y654" s="35">
        <v>6.68</v>
      </c>
      <c r="Z654" s="1" t="s">
        <v>3013</v>
      </c>
      <c r="AA654" s="36">
        <v>0</v>
      </c>
      <c r="AB654" s="54">
        <v>388.96199999999999</v>
      </c>
      <c r="AC654" s="54">
        <v>2.5381999999999998</v>
      </c>
      <c r="AD654" s="36">
        <v>688.68</v>
      </c>
    </row>
    <row r="655" spans="1:30" s="37" customFormat="1" ht="15.75" customHeight="1" x14ac:dyDescent="0.2">
      <c r="A655" s="26">
        <v>2466</v>
      </c>
      <c r="B655" s="27" t="s">
        <v>1409</v>
      </c>
      <c r="C655" s="27" t="s">
        <v>116</v>
      </c>
      <c r="D655" s="28">
        <v>0.02</v>
      </c>
      <c r="E655" s="29">
        <v>53.98</v>
      </c>
      <c r="F655" s="29">
        <v>5.5</v>
      </c>
      <c r="G655" s="30" t="s">
        <v>87</v>
      </c>
      <c r="H655" s="27" t="s">
        <v>94</v>
      </c>
      <c r="I655" s="27" t="s">
        <v>41</v>
      </c>
      <c r="J655" s="27" t="s">
        <v>42</v>
      </c>
      <c r="K655" s="27" t="s">
        <v>73</v>
      </c>
      <c r="L655" s="31" t="s">
        <v>1412</v>
      </c>
      <c r="M655" s="32">
        <v>0.62</v>
      </c>
      <c r="N655" s="27" t="s">
        <v>33</v>
      </c>
      <c r="O655" s="27" t="s">
        <v>53</v>
      </c>
      <c r="P655" s="27" t="s">
        <v>289</v>
      </c>
      <c r="Q655" s="27" t="s">
        <v>1411</v>
      </c>
      <c r="R655" s="33">
        <v>49783</v>
      </c>
      <c r="S655" s="34">
        <v>42062</v>
      </c>
      <c r="T655" s="34">
        <v>42063</v>
      </c>
      <c r="U655" s="29">
        <v>101.97199999999999</v>
      </c>
      <c r="V655" s="26">
        <v>8</v>
      </c>
      <c r="W655" s="29">
        <v>438.33</v>
      </c>
      <c r="X655" s="26">
        <v>88136</v>
      </c>
      <c r="Y655" s="35">
        <v>6.68</v>
      </c>
      <c r="Z655" s="1" t="s">
        <v>3012</v>
      </c>
      <c r="AA655" s="36">
        <v>8.6367999999999991</v>
      </c>
      <c r="AB655" s="54">
        <v>166.56539999999998</v>
      </c>
      <c r="AC655" s="54">
        <v>33.970574999999997</v>
      </c>
      <c r="AD655" s="36">
        <v>322.22120000000001</v>
      </c>
    </row>
    <row r="656" spans="1:30" s="37" customFormat="1" ht="15.75" customHeight="1" x14ac:dyDescent="0.2">
      <c r="A656" s="26">
        <v>751</v>
      </c>
      <c r="B656" s="27" t="s">
        <v>1402</v>
      </c>
      <c r="C656" s="27" t="s">
        <v>48</v>
      </c>
      <c r="D656" s="28">
        <v>0.06</v>
      </c>
      <c r="E656" s="29">
        <v>130.97999999999999</v>
      </c>
      <c r="F656" s="29">
        <v>54.74</v>
      </c>
      <c r="G656" s="30" t="s">
        <v>27</v>
      </c>
      <c r="H656" s="27" t="s">
        <v>94</v>
      </c>
      <c r="I656" s="27" t="s">
        <v>29</v>
      </c>
      <c r="J656" s="27" t="s">
        <v>117</v>
      </c>
      <c r="K656" s="27" t="s">
        <v>31</v>
      </c>
      <c r="L656" s="31" t="s">
        <v>1403</v>
      </c>
      <c r="M656" s="32">
        <v>0.69</v>
      </c>
      <c r="N656" s="27" t="s">
        <v>33</v>
      </c>
      <c r="O656" s="27" t="s">
        <v>34</v>
      </c>
      <c r="P656" s="27" t="s">
        <v>388</v>
      </c>
      <c r="Q656" s="27" t="s">
        <v>1404</v>
      </c>
      <c r="R656" s="33">
        <v>40324</v>
      </c>
      <c r="S656" s="34">
        <v>42062</v>
      </c>
      <c r="T656" s="34">
        <v>42069</v>
      </c>
      <c r="U656" s="29">
        <v>14.76</v>
      </c>
      <c r="V656" s="26">
        <v>3</v>
      </c>
      <c r="W656" s="29">
        <v>411.64</v>
      </c>
      <c r="X656" s="26">
        <v>91201</v>
      </c>
      <c r="Y656" s="35">
        <v>130.91999999999999</v>
      </c>
      <c r="Z656" s="1" t="s">
        <v>3011</v>
      </c>
      <c r="AA656" s="36">
        <v>23.576399999999996</v>
      </c>
      <c r="AB656" s="54">
        <v>127.60840000000002</v>
      </c>
      <c r="AC656" s="54">
        <v>94.677199999999999</v>
      </c>
      <c r="AD656" s="36">
        <v>318.56360000000001</v>
      </c>
    </row>
    <row r="657" spans="1:30" s="37" customFormat="1" ht="15.75" customHeight="1" x14ac:dyDescent="0.2">
      <c r="A657" s="26">
        <v>1047</v>
      </c>
      <c r="B657" s="27" t="s">
        <v>1401</v>
      </c>
      <c r="C657" s="27" t="s">
        <v>38</v>
      </c>
      <c r="D657" s="28">
        <v>0</v>
      </c>
      <c r="E657" s="29">
        <v>6.68</v>
      </c>
      <c r="F657" s="29">
        <v>5.66</v>
      </c>
      <c r="G657" s="30" t="s">
        <v>39</v>
      </c>
      <c r="H657" s="27" t="s">
        <v>71</v>
      </c>
      <c r="I657" s="27" t="s">
        <v>49</v>
      </c>
      <c r="J657" s="27" t="s">
        <v>88</v>
      </c>
      <c r="K657" s="27" t="s">
        <v>73</v>
      </c>
      <c r="L657" s="31" t="s">
        <v>1050</v>
      </c>
      <c r="M657" s="32">
        <v>0.37</v>
      </c>
      <c r="N657" s="27" t="s">
        <v>33</v>
      </c>
      <c r="O657" s="27" t="s">
        <v>111</v>
      </c>
      <c r="P657" s="27" t="s">
        <v>403</v>
      </c>
      <c r="Q657" s="27" t="s">
        <v>788</v>
      </c>
      <c r="R657" s="33">
        <v>2109</v>
      </c>
      <c r="S657" s="34">
        <v>42062</v>
      </c>
      <c r="T657" s="34">
        <v>42063</v>
      </c>
      <c r="U657" s="29">
        <v>-40.008800000000001</v>
      </c>
      <c r="V657" s="26">
        <v>23</v>
      </c>
      <c r="W657" s="29">
        <v>157.78</v>
      </c>
      <c r="X657" s="26">
        <v>89389</v>
      </c>
      <c r="Y657" s="35">
        <v>8.4600000000000009</v>
      </c>
      <c r="Z657" s="1" t="s">
        <v>3014</v>
      </c>
      <c r="AA657" s="36">
        <v>0</v>
      </c>
      <c r="AB657" s="54">
        <v>99.401399999999995</v>
      </c>
      <c r="AC657" s="54">
        <v>2.5382000000000002</v>
      </c>
      <c r="AD657" s="36">
        <v>192.12880000000001</v>
      </c>
    </row>
    <row r="658" spans="1:30" s="37" customFormat="1" ht="15.75" customHeight="1" x14ac:dyDescent="0.2">
      <c r="A658" s="26">
        <v>1754</v>
      </c>
      <c r="B658" s="27" t="s">
        <v>1405</v>
      </c>
      <c r="C658" s="27" t="s">
        <v>48</v>
      </c>
      <c r="D658" s="28">
        <v>0.04</v>
      </c>
      <c r="E658" s="29">
        <v>8.5</v>
      </c>
      <c r="F658" s="29">
        <v>1.99</v>
      </c>
      <c r="G658" s="30" t="s">
        <v>39</v>
      </c>
      <c r="H658" s="27" t="s">
        <v>40</v>
      </c>
      <c r="I658" s="27" t="s">
        <v>41</v>
      </c>
      <c r="J658" s="27" t="s">
        <v>42</v>
      </c>
      <c r="K658" s="27" t="s">
        <v>43</v>
      </c>
      <c r="L658" s="31" t="s">
        <v>1406</v>
      </c>
      <c r="M658" s="32">
        <v>0.49</v>
      </c>
      <c r="N658" s="27" t="s">
        <v>33</v>
      </c>
      <c r="O658" s="27" t="s">
        <v>60</v>
      </c>
      <c r="P658" s="27" t="s">
        <v>90</v>
      </c>
      <c r="Q658" s="27" t="s">
        <v>1407</v>
      </c>
      <c r="R658" s="33">
        <v>90503</v>
      </c>
      <c r="S658" s="34">
        <v>42062</v>
      </c>
      <c r="T658" s="34">
        <v>42063</v>
      </c>
      <c r="U658" s="29">
        <v>43.275199999999998</v>
      </c>
      <c r="V658" s="26">
        <v>14</v>
      </c>
      <c r="W658" s="29">
        <v>118.57</v>
      </c>
      <c r="X658" s="26">
        <v>90178</v>
      </c>
      <c r="Y658" s="35">
        <v>15.89</v>
      </c>
      <c r="Z658" s="1" t="s">
        <v>3013</v>
      </c>
      <c r="AA658" s="36">
        <v>4.7600000000000007</v>
      </c>
      <c r="AB658" s="54">
        <v>60.470700000000001</v>
      </c>
      <c r="AC658" s="54">
        <v>4.1499499999999996</v>
      </c>
      <c r="AD658" s="36">
        <v>68.544799999999995</v>
      </c>
    </row>
    <row r="659" spans="1:30" s="37" customFormat="1" ht="15.75" customHeight="1" x14ac:dyDescent="0.2">
      <c r="A659" s="26">
        <v>1916</v>
      </c>
      <c r="B659" s="27" t="s">
        <v>1394</v>
      </c>
      <c r="C659" s="27" t="s">
        <v>26</v>
      </c>
      <c r="D659" s="28">
        <v>0.03</v>
      </c>
      <c r="E659" s="29">
        <v>11.99</v>
      </c>
      <c r="F659" s="29">
        <v>5.99</v>
      </c>
      <c r="G659" s="30" t="s">
        <v>39</v>
      </c>
      <c r="H659" s="27" t="s">
        <v>71</v>
      </c>
      <c r="I659" s="27" t="s">
        <v>41</v>
      </c>
      <c r="J659" s="27" t="s">
        <v>57</v>
      </c>
      <c r="K659" s="27" t="s">
        <v>144</v>
      </c>
      <c r="L659" s="31" t="s">
        <v>1395</v>
      </c>
      <c r="M659" s="32">
        <v>0.36</v>
      </c>
      <c r="N659" s="27" t="s">
        <v>33</v>
      </c>
      <c r="O659" s="27" t="s">
        <v>34</v>
      </c>
      <c r="P659" s="27" t="s">
        <v>45</v>
      </c>
      <c r="Q659" s="27" t="s">
        <v>1396</v>
      </c>
      <c r="R659" s="33">
        <v>72209</v>
      </c>
      <c r="S659" s="34">
        <v>42062</v>
      </c>
      <c r="T659" s="34">
        <v>42063</v>
      </c>
      <c r="U659" s="29">
        <v>-216.02979999999999</v>
      </c>
      <c r="V659" s="26">
        <v>7</v>
      </c>
      <c r="W659" s="29">
        <v>83.72</v>
      </c>
      <c r="X659" s="26">
        <v>85893</v>
      </c>
      <c r="Y659" s="35">
        <v>95.899999999999991</v>
      </c>
      <c r="Z659" s="1" t="s">
        <v>3011</v>
      </c>
      <c r="AA659" s="36">
        <v>2.5179</v>
      </c>
      <c r="AB659" s="54">
        <v>53.580800000000004</v>
      </c>
      <c r="AC659" s="54">
        <v>4.3055999999999992</v>
      </c>
      <c r="AD659" s="36">
        <v>291.24189999999999</v>
      </c>
    </row>
    <row r="660" spans="1:30" s="37" customFormat="1" ht="15.75" customHeight="1" x14ac:dyDescent="0.2">
      <c r="A660" s="26">
        <v>1754</v>
      </c>
      <c r="B660" s="27" t="s">
        <v>1405</v>
      </c>
      <c r="C660" s="27" t="s">
        <v>48</v>
      </c>
      <c r="D660" s="28">
        <v>0.1</v>
      </c>
      <c r="E660" s="29">
        <v>15.99</v>
      </c>
      <c r="F660" s="29">
        <v>9.4</v>
      </c>
      <c r="G660" s="30" t="s">
        <v>39</v>
      </c>
      <c r="H660" s="27" t="s">
        <v>40</v>
      </c>
      <c r="I660" s="27" t="s">
        <v>41</v>
      </c>
      <c r="J660" s="27" t="s">
        <v>57</v>
      </c>
      <c r="K660" s="27" t="s">
        <v>73</v>
      </c>
      <c r="L660" s="31" t="s">
        <v>628</v>
      </c>
      <c r="M660" s="32">
        <v>0.49</v>
      </c>
      <c r="N660" s="27" t="s">
        <v>33</v>
      </c>
      <c r="O660" s="27" t="s">
        <v>60</v>
      </c>
      <c r="P660" s="27" t="s">
        <v>90</v>
      </c>
      <c r="Q660" s="27" t="s">
        <v>1407</v>
      </c>
      <c r="R660" s="33">
        <v>90503</v>
      </c>
      <c r="S660" s="34">
        <v>42062</v>
      </c>
      <c r="T660" s="34">
        <v>42062</v>
      </c>
      <c r="U660" s="29">
        <v>-36.214619999999996</v>
      </c>
      <c r="V660" s="26">
        <v>5</v>
      </c>
      <c r="W660" s="29">
        <v>79.47</v>
      </c>
      <c r="X660" s="26">
        <v>90178</v>
      </c>
      <c r="Y660" s="35">
        <v>2.04</v>
      </c>
      <c r="Z660" s="1" t="s">
        <v>3013</v>
      </c>
      <c r="AA660" s="36">
        <v>7.995000000000001</v>
      </c>
      <c r="AB660" s="54">
        <v>40.529699999999998</v>
      </c>
      <c r="AC660" s="54">
        <v>7.7880599999999998</v>
      </c>
      <c r="AD660" s="36">
        <v>98.289619999999999</v>
      </c>
    </row>
    <row r="661" spans="1:30" s="37" customFormat="1" ht="15.75" customHeight="1" x14ac:dyDescent="0.2">
      <c r="A661" s="26">
        <v>2466</v>
      </c>
      <c r="B661" s="27" t="s">
        <v>1409</v>
      </c>
      <c r="C661" s="27" t="s">
        <v>116</v>
      </c>
      <c r="D661" s="28">
        <v>0.05</v>
      </c>
      <c r="E661" s="29">
        <v>4.9800000000000004</v>
      </c>
      <c r="F661" s="29">
        <v>5.0199999999999996</v>
      </c>
      <c r="G661" s="30" t="s">
        <v>39</v>
      </c>
      <c r="H661" s="27" t="s">
        <v>94</v>
      </c>
      <c r="I661" s="27" t="s">
        <v>49</v>
      </c>
      <c r="J661" s="27" t="s">
        <v>88</v>
      </c>
      <c r="K661" s="27" t="s">
        <v>73</v>
      </c>
      <c r="L661" s="31" t="s">
        <v>1413</v>
      </c>
      <c r="M661" s="32">
        <v>0.38</v>
      </c>
      <c r="N661" s="27" t="s">
        <v>33</v>
      </c>
      <c r="O661" s="27" t="s">
        <v>53</v>
      </c>
      <c r="P661" s="27" t="s">
        <v>289</v>
      </c>
      <c r="Q661" s="27" t="s">
        <v>1411</v>
      </c>
      <c r="R661" s="33">
        <v>49783</v>
      </c>
      <c r="S661" s="34">
        <v>42062</v>
      </c>
      <c r="T661" s="34">
        <v>42062</v>
      </c>
      <c r="U661" s="29">
        <v>-16.634799999999998</v>
      </c>
      <c r="V661" s="26">
        <v>7</v>
      </c>
      <c r="W661" s="29">
        <v>38.11</v>
      </c>
      <c r="X661" s="26">
        <v>88136</v>
      </c>
      <c r="Y661" s="35">
        <v>53.959999999999994</v>
      </c>
      <c r="Z661" s="1" t="s">
        <v>3012</v>
      </c>
      <c r="AA661" s="36">
        <v>1.7430000000000001</v>
      </c>
      <c r="AB661" s="54">
        <v>23.6282</v>
      </c>
      <c r="AC661" s="54">
        <v>2.0688285714285715</v>
      </c>
      <c r="AD661" s="36">
        <v>47.9818</v>
      </c>
    </row>
    <row r="662" spans="1:30" s="37" customFormat="1" ht="15.75" customHeight="1" x14ac:dyDescent="0.2">
      <c r="A662" s="26">
        <v>2466</v>
      </c>
      <c r="B662" s="27" t="s">
        <v>1409</v>
      </c>
      <c r="C662" s="27" t="s">
        <v>116</v>
      </c>
      <c r="D662" s="28">
        <v>0.04</v>
      </c>
      <c r="E662" s="29">
        <v>2.08</v>
      </c>
      <c r="F662" s="29">
        <v>1.49</v>
      </c>
      <c r="G662" s="30" t="s">
        <v>39</v>
      </c>
      <c r="H662" s="27" t="s">
        <v>94</v>
      </c>
      <c r="I662" s="27" t="s">
        <v>49</v>
      </c>
      <c r="J662" s="27" t="s">
        <v>72</v>
      </c>
      <c r="K662" s="27" t="s">
        <v>73</v>
      </c>
      <c r="L662" s="31" t="s">
        <v>1410</v>
      </c>
      <c r="M662" s="32">
        <v>0.36</v>
      </c>
      <c r="N662" s="27" t="s">
        <v>33</v>
      </c>
      <c r="O662" s="27" t="s">
        <v>53</v>
      </c>
      <c r="P662" s="27" t="s">
        <v>289</v>
      </c>
      <c r="Q662" s="27" t="s">
        <v>1411</v>
      </c>
      <c r="R662" s="33">
        <v>49783</v>
      </c>
      <c r="S662" s="34">
        <v>42062</v>
      </c>
      <c r="T662" s="34">
        <v>42063</v>
      </c>
      <c r="U662" s="29">
        <v>-3.71956</v>
      </c>
      <c r="V662" s="26">
        <v>7</v>
      </c>
      <c r="W662" s="29">
        <v>14.77</v>
      </c>
      <c r="X662" s="26">
        <v>88136</v>
      </c>
      <c r="Y662" s="35">
        <v>4.9300000000000006</v>
      </c>
      <c r="Z662" s="1" t="s">
        <v>3012</v>
      </c>
      <c r="AA662" s="36">
        <v>0.58240000000000003</v>
      </c>
      <c r="AB662" s="54">
        <v>9.4527999999999999</v>
      </c>
      <c r="AC662" s="54">
        <v>0.75959999999999994</v>
      </c>
      <c r="AD662" s="36">
        <v>16.417159999999999</v>
      </c>
    </row>
    <row r="663" spans="1:30" s="37" customFormat="1" ht="15.75" customHeight="1" x14ac:dyDescent="0.2">
      <c r="A663" s="26">
        <v>3355</v>
      </c>
      <c r="B663" s="27" t="s">
        <v>1422</v>
      </c>
      <c r="C663" s="27" t="s">
        <v>48</v>
      </c>
      <c r="D663" s="28">
        <v>0.1</v>
      </c>
      <c r="E663" s="29">
        <v>125.99</v>
      </c>
      <c r="F663" s="29">
        <v>4.2</v>
      </c>
      <c r="G663" s="30" t="s">
        <v>39</v>
      </c>
      <c r="H663" s="27" t="s">
        <v>94</v>
      </c>
      <c r="I663" s="27" t="s">
        <v>41</v>
      </c>
      <c r="J663" s="27" t="s">
        <v>135</v>
      </c>
      <c r="K663" s="27" t="s">
        <v>73</v>
      </c>
      <c r="L663" s="31" t="s">
        <v>1426</v>
      </c>
      <c r="M663" s="32">
        <v>0.59</v>
      </c>
      <c r="N663" s="27" t="s">
        <v>33</v>
      </c>
      <c r="O663" s="27" t="s">
        <v>60</v>
      </c>
      <c r="P663" s="27" t="s">
        <v>90</v>
      </c>
      <c r="Q663" s="27" t="s">
        <v>1424</v>
      </c>
      <c r="R663" s="33">
        <v>93010</v>
      </c>
      <c r="S663" s="34">
        <v>42063</v>
      </c>
      <c r="T663" s="34">
        <v>42063</v>
      </c>
      <c r="U663" s="29">
        <v>372.40199999999999</v>
      </c>
      <c r="V663" s="26">
        <v>7</v>
      </c>
      <c r="W663" s="29">
        <v>681.42</v>
      </c>
      <c r="X663" s="26">
        <v>88587</v>
      </c>
      <c r="Y663" s="35">
        <v>284.95000000000005</v>
      </c>
      <c r="Z663" s="1" t="s">
        <v>3013</v>
      </c>
      <c r="AA663" s="36">
        <v>88.192999999999998</v>
      </c>
      <c r="AB663" s="54">
        <v>279.38220000000001</v>
      </c>
      <c r="AC663" s="54">
        <v>57.433971428571425</v>
      </c>
      <c r="AD663" s="36">
        <v>216.625</v>
      </c>
    </row>
    <row r="664" spans="1:30" s="37" customFormat="1" ht="15.75" customHeight="1" x14ac:dyDescent="0.2">
      <c r="A664" s="26">
        <v>972</v>
      </c>
      <c r="B664" s="27" t="s">
        <v>1414</v>
      </c>
      <c r="C664" s="27" t="s">
        <v>48</v>
      </c>
      <c r="D664" s="28">
        <v>0.03</v>
      </c>
      <c r="E664" s="29">
        <v>284.98</v>
      </c>
      <c r="F664" s="29">
        <v>69.55</v>
      </c>
      <c r="G664" s="30" t="s">
        <v>27</v>
      </c>
      <c r="H664" s="27" t="s">
        <v>94</v>
      </c>
      <c r="I664" s="27" t="s">
        <v>29</v>
      </c>
      <c r="J664" s="27" t="s">
        <v>109</v>
      </c>
      <c r="K664" s="27" t="s">
        <v>58</v>
      </c>
      <c r="L664" s="31" t="s">
        <v>1415</v>
      </c>
      <c r="M664" s="32">
        <v>0.6</v>
      </c>
      <c r="N664" s="27" t="s">
        <v>33</v>
      </c>
      <c r="O664" s="27" t="s">
        <v>60</v>
      </c>
      <c r="P664" s="27" t="s">
        <v>90</v>
      </c>
      <c r="Q664" s="27" t="s">
        <v>1416</v>
      </c>
      <c r="R664" s="33">
        <v>92503</v>
      </c>
      <c r="S664" s="34">
        <v>42063</v>
      </c>
      <c r="T664" s="34">
        <v>42068</v>
      </c>
      <c r="U664" s="29">
        <v>-116.584</v>
      </c>
      <c r="V664" s="26">
        <v>2</v>
      </c>
      <c r="W664" s="29">
        <v>619.38</v>
      </c>
      <c r="X664" s="26">
        <v>87259</v>
      </c>
      <c r="Y664" s="35">
        <v>12.99</v>
      </c>
      <c r="Z664" s="1" t="s">
        <v>3013</v>
      </c>
      <c r="AA664" s="36">
        <v>17.098800000000001</v>
      </c>
      <c r="AB664" s="54">
        <v>247.75200000000001</v>
      </c>
      <c r="AC664" s="54">
        <v>185.81399999999999</v>
      </c>
      <c r="AD664" s="36">
        <v>649.3152</v>
      </c>
    </row>
    <row r="665" spans="1:30" s="37" customFormat="1" ht="15.75" customHeight="1" x14ac:dyDescent="0.2">
      <c r="A665" s="26">
        <v>2908</v>
      </c>
      <c r="B665" s="27" t="s">
        <v>325</v>
      </c>
      <c r="C665" s="27" t="s">
        <v>3094</v>
      </c>
      <c r="D665" s="28">
        <v>0.05</v>
      </c>
      <c r="E665" s="29">
        <v>34.979999999999997</v>
      </c>
      <c r="F665" s="29">
        <v>7.53</v>
      </c>
      <c r="G665" s="30" t="s">
        <v>87</v>
      </c>
      <c r="H665" s="27" t="s">
        <v>71</v>
      </c>
      <c r="I665" s="27" t="s">
        <v>41</v>
      </c>
      <c r="J665" s="27" t="s">
        <v>42</v>
      </c>
      <c r="K665" s="27" t="s">
        <v>73</v>
      </c>
      <c r="L665" s="31" t="s">
        <v>1439</v>
      </c>
      <c r="M665" s="32">
        <v>0.76</v>
      </c>
      <c r="N665" s="27" t="s">
        <v>33</v>
      </c>
      <c r="O665" s="27" t="s">
        <v>111</v>
      </c>
      <c r="P665" s="27" t="s">
        <v>317</v>
      </c>
      <c r="Q665" s="27" t="s">
        <v>327</v>
      </c>
      <c r="R665" s="33">
        <v>44125</v>
      </c>
      <c r="S665" s="34">
        <v>42063</v>
      </c>
      <c r="T665" s="34">
        <v>42066</v>
      </c>
      <c r="U665" s="29">
        <v>-32.666400000000003</v>
      </c>
      <c r="V665" s="26">
        <v>16</v>
      </c>
      <c r="W665" s="29">
        <v>581.08000000000004</v>
      </c>
      <c r="X665" s="26">
        <v>88157</v>
      </c>
      <c r="Y665" s="35">
        <v>14.11</v>
      </c>
      <c r="Z665" s="1" t="s">
        <v>3014</v>
      </c>
      <c r="AA665" s="36">
        <v>27.983999999999998</v>
      </c>
      <c r="AB665" s="54">
        <v>139.45920000000001</v>
      </c>
      <c r="AC665" s="54">
        <v>27.601300000000002</v>
      </c>
      <c r="AD665" s="36">
        <v>578.2324000000001</v>
      </c>
    </row>
    <row r="666" spans="1:30" s="37" customFormat="1" ht="15.75" customHeight="1" x14ac:dyDescent="0.2">
      <c r="A666" s="26">
        <v>3355</v>
      </c>
      <c r="B666" s="27" t="s">
        <v>1422</v>
      </c>
      <c r="C666" s="27" t="s">
        <v>48</v>
      </c>
      <c r="D666" s="28">
        <v>0.1</v>
      </c>
      <c r="E666" s="29">
        <v>120.98</v>
      </c>
      <c r="F666" s="29">
        <v>9.07</v>
      </c>
      <c r="G666" s="30" t="s">
        <v>39</v>
      </c>
      <c r="H666" s="27" t="s">
        <v>94</v>
      </c>
      <c r="I666" s="27" t="s">
        <v>49</v>
      </c>
      <c r="J666" s="27" t="s">
        <v>72</v>
      </c>
      <c r="K666" s="27" t="s">
        <v>73</v>
      </c>
      <c r="L666" s="31" t="s">
        <v>1423</v>
      </c>
      <c r="M666" s="32">
        <v>0.35</v>
      </c>
      <c r="N666" s="27" t="s">
        <v>33</v>
      </c>
      <c r="O666" s="27" t="s">
        <v>60</v>
      </c>
      <c r="P666" s="27" t="s">
        <v>90</v>
      </c>
      <c r="Q666" s="27" t="s">
        <v>1424</v>
      </c>
      <c r="R666" s="33">
        <v>93010</v>
      </c>
      <c r="S666" s="34">
        <v>42063</v>
      </c>
      <c r="T666" s="34">
        <v>42072</v>
      </c>
      <c r="U666" s="29">
        <v>379.3965</v>
      </c>
      <c r="V666" s="26">
        <v>5</v>
      </c>
      <c r="W666" s="29">
        <v>549.85</v>
      </c>
      <c r="X666" s="26">
        <v>88587</v>
      </c>
      <c r="Y666" s="35">
        <v>19.170000000000002</v>
      </c>
      <c r="Z666" s="1" t="s">
        <v>3013</v>
      </c>
      <c r="AA666" s="36">
        <v>60.49</v>
      </c>
      <c r="AB666" s="54">
        <v>357.40250000000003</v>
      </c>
      <c r="AC666" s="54">
        <v>38.4895</v>
      </c>
      <c r="AD666" s="36">
        <v>100.89350000000002</v>
      </c>
    </row>
    <row r="667" spans="1:30" s="37" customFormat="1" ht="15.75" customHeight="1" x14ac:dyDescent="0.2">
      <c r="A667" s="26">
        <v>719</v>
      </c>
      <c r="B667" s="27" t="s">
        <v>1435</v>
      </c>
      <c r="C667" s="27" t="s">
        <v>3094</v>
      </c>
      <c r="D667" s="28">
        <v>0.03</v>
      </c>
      <c r="E667" s="29">
        <v>95.43</v>
      </c>
      <c r="F667" s="29">
        <v>19.989999999999998</v>
      </c>
      <c r="G667" s="30" t="s">
        <v>39</v>
      </c>
      <c r="H667" s="27" t="s">
        <v>94</v>
      </c>
      <c r="I667" s="27" t="s">
        <v>49</v>
      </c>
      <c r="J667" s="27" t="s">
        <v>78</v>
      </c>
      <c r="K667" s="27" t="s">
        <v>73</v>
      </c>
      <c r="L667" s="31" t="s">
        <v>1437</v>
      </c>
      <c r="M667" s="32">
        <v>0.79</v>
      </c>
      <c r="N667" s="27" t="s">
        <v>33</v>
      </c>
      <c r="O667" s="27" t="s">
        <v>60</v>
      </c>
      <c r="P667" s="27" t="s">
        <v>296</v>
      </c>
      <c r="Q667" s="27" t="s">
        <v>1436</v>
      </c>
      <c r="R667" s="33">
        <v>89041</v>
      </c>
      <c r="S667" s="34">
        <v>42063</v>
      </c>
      <c r="T667" s="34">
        <v>42065</v>
      </c>
      <c r="U667" s="29">
        <v>-79.320800000000006</v>
      </c>
      <c r="V667" s="26">
        <v>2</v>
      </c>
      <c r="W667" s="29">
        <v>206.09</v>
      </c>
      <c r="X667" s="26">
        <v>89344</v>
      </c>
      <c r="Y667" s="35">
        <v>2.83</v>
      </c>
      <c r="Z667" s="1" t="s">
        <v>3013</v>
      </c>
      <c r="AA667" s="36">
        <v>5.7258000000000004</v>
      </c>
      <c r="AB667" s="54">
        <v>43.278899999999993</v>
      </c>
      <c r="AC667" s="54">
        <v>81.405550000000005</v>
      </c>
      <c r="AD667" s="36">
        <v>259.69499999999999</v>
      </c>
    </row>
    <row r="668" spans="1:30" s="37" customFormat="1" ht="15.75" customHeight="1" x14ac:dyDescent="0.2">
      <c r="A668" s="26">
        <v>2861</v>
      </c>
      <c r="B668" s="27" t="s">
        <v>1430</v>
      </c>
      <c r="C668" s="27" t="s">
        <v>116</v>
      </c>
      <c r="D668" s="28">
        <v>0.05</v>
      </c>
      <c r="E668" s="29">
        <v>20.99</v>
      </c>
      <c r="F668" s="29">
        <v>4.8099999999999996</v>
      </c>
      <c r="G668" s="30" t="s">
        <v>39</v>
      </c>
      <c r="H668" s="27" t="s">
        <v>94</v>
      </c>
      <c r="I668" s="27" t="s">
        <v>41</v>
      </c>
      <c r="J668" s="27" t="s">
        <v>135</v>
      </c>
      <c r="K668" s="27" t="s">
        <v>144</v>
      </c>
      <c r="L668" s="31" t="s">
        <v>1431</v>
      </c>
      <c r="M668" s="32">
        <v>0.57999999999999996</v>
      </c>
      <c r="N668" s="27" t="s">
        <v>33</v>
      </c>
      <c r="O668" s="27" t="s">
        <v>53</v>
      </c>
      <c r="P668" s="27" t="s">
        <v>537</v>
      </c>
      <c r="Q668" s="27" t="s">
        <v>1210</v>
      </c>
      <c r="R668" s="33">
        <v>67601</v>
      </c>
      <c r="S668" s="34">
        <v>42063</v>
      </c>
      <c r="T668" s="34">
        <v>42063</v>
      </c>
      <c r="U668" s="29">
        <v>4.9017600000000003</v>
      </c>
      <c r="V668" s="26">
        <v>11</v>
      </c>
      <c r="W668" s="29">
        <v>199.43</v>
      </c>
      <c r="X668" s="26">
        <v>88280</v>
      </c>
      <c r="Y668" s="35">
        <v>120.88000000000001</v>
      </c>
      <c r="Z668" s="1" t="s">
        <v>3012</v>
      </c>
      <c r="AA668" s="36">
        <v>11.544499999999999</v>
      </c>
      <c r="AB668" s="54">
        <v>83.760600000000011</v>
      </c>
      <c r="AC668" s="54">
        <v>10.515399999999998</v>
      </c>
      <c r="AD668" s="36">
        <v>178.17374000000001</v>
      </c>
    </row>
    <row r="669" spans="1:30" s="37" customFormat="1" ht="15.75" customHeight="1" x14ac:dyDescent="0.2">
      <c r="A669" s="26">
        <v>1482</v>
      </c>
      <c r="B669" s="27" t="s">
        <v>1438</v>
      </c>
      <c r="C669" s="27" t="s">
        <v>3094</v>
      </c>
      <c r="D669" s="28">
        <v>0.05</v>
      </c>
      <c r="E669" s="29">
        <v>9.65</v>
      </c>
      <c r="F669" s="29">
        <v>6.22</v>
      </c>
      <c r="G669" s="30" t="s">
        <v>39</v>
      </c>
      <c r="H669" s="27" t="s">
        <v>94</v>
      </c>
      <c r="I669" s="27" t="s">
        <v>29</v>
      </c>
      <c r="J669" s="27" t="s">
        <v>126</v>
      </c>
      <c r="K669" s="27" t="s">
        <v>73</v>
      </c>
      <c r="L669" s="31" t="s">
        <v>1281</v>
      </c>
      <c r="M669" s="32">
        <v>0.55000000000000004</v>
      </c>
      <c r="N669" s="27" t="s">
        <v>33</v>
      </c>
      <c r="O669" s="27" t="s">
        <v>53</v>
      </c>
      <c r="P669" s="27" t="s">
        <v>289</v>
      </c>
      <c r="Q669" s="27" t="s">
        <v>994</v>
      </c>
      <c r="R669" s="33">
        <v>48708</v>
      </c>
      <c r="S669" s="34">
        <v>42063</v>
      </c>
      <c r="T669" s="34">
        <v>42063</v>
      </c>
      <c r="U669" s="29">
        <v>-14.6432</v>
      </c>
      <c r="V669" s="26">
        <v>15</v>
      </c>
      <c r="W669" s="29">
        <v>151.34</v>
      </c>
      <c r="X669" s="26">
        <v>91363</v>
      </c>
      <c r="Y669" s="35">
        <v>8.24</v>
      </c>
      <c r="Z669" s="1" t="s">
        <v>3012</v>
      </c>
      <c r="AA669" s="36">
        <v>7.2375000000000007</v>
      </c>
      <c r="AB669" s="54">
        <v>68.102999999999994</v>
      </c>
      <c r="AC669" s="54">
        <v>5.5491333333333346</v>
      </c>
      <c r="AD669" s="36">
        <v>152.5257</v>
      </c>
    </row>
    <row r="670" spans="1:30" s="37" customFormat="1" ht="15.75" customHeight="1" x14ac:dyDescent="0.2">
      <c r="A670" s="26">
        <v>2931</v>
      </c>
      <c r="B670" s="27" t="s">
        <v>1441</v>
      </c>
      <c r="C670" s="27" t="s">
        <v>3094</v>
      </c>
      <c r="D670" s="28">
        <v>0.1</v>
      </c>
      <c r="E670" s="29">
        <v>11.55</v>
      </c>
      <c r="F670" s="29">
        <v>2.36</v>
      </c>
      <c r="G670" s="30" t="s">
        <v>39</v>
      </c>
      <c r="H670" s="27" t="s">
        <v>3095</v>
      </c>
      <c r="I670" s="27" t="s">
        <v>49</v>
      </c>
      <c r="J670" s="27" t="s">
        <v>50</v>
      </c>
      <c r="K670" s="27" t="s">
        <v>51</v>
      </c>
      <c r="L670" s="31" t="s">
        <v>380</v>
      </c>
      <c r="M670" s="32">
        <v>0.55000000000000004</v>
      </c>
      <c r="N670" s="27" t="s">
        <v>33</v>
      </c>
      <c r="O670" s="27" t="s">
        <v>60</v>
      </c>
      <c r="P670" s="27" t="s">
        <v>90</v>
      </c>
      <c r="Q670" s="27" t="s">
        <v>1442</v>
      </c>
      <c r="R670" s="33">
        <v>95630</v>
      </c>
      <c r="S670" s="34">
        <v>42063</v>
      </c>
      <c r="T670" s="34">
        <v>42063</v>
      </c>
      <c r="U670" s="29">
        <v>69.767200000000003</v>
      </c>
      <c r="V670" s="26">
        <v>12</v>
      </c>
      <c r="W670" s="29">
        <v>135.77000000000001</v>
      </c>
      <c r="X670" s="26">
        <v>87619</v>
      </c>
      <c r="Y670" s="35">
        <v>125.89</v>
      </c>
      <c r="Z670" s="1" t="s">
        <v>3013</v>
      </c>
      <c r="AA670" s="36">
        <v>13.86</v>
      </c>
      <c r="AB670" s="54">
        <v>61.096499999999999</v>
      </c>
      <c r="AC670" s="54">
        <v>6.2227916666666676</v>
      </c>
      <c r="AD670" s="36">
        <v>49.782800000000009</v>
      </c>
    </row>
    <row r="671" spans="1:30" s="37" customFormat="1" ht="15.75" customHeight="1" x14ac:dyDescent="0.2">
      <c r="A671" s="26">
        <v>2587</v>
      </c>
      <c r="B671" s="27" t="s">
        <v>1427</v>
      </c>
      <c r="C671" s="27" t="s">
        <v>116</v>
      </c>
      <c r="D671" s="28">
        <v>0.01</v>
      </c>
      <c r="E671" s="29">
        <v>6.48</v>
      </c>
      <c r="F671" s="29">
        <v>6.57</v>
      </c>
      <c r="G671" s="30" t="s">
        <v>87</v>
      </c>
      <c r="H671" s="27" t="s">
        <v>71</v>
      </c>
      <c r="I671" s="27" t="s">
        <v>49</v>
      </c>
      <c r="J671" s="27" t="s">
        <v>88</v>
      </c>
      <c r="K671" s="27" t="s">
        <v>73</v>
      </c>
      <c r="L671" s="31" t="s">
        <v>1428</v>
      </c>
      <c r="M671" s="32">
        <v>0.37</v>
      </c>
      <c r="N671" s="27" t="s">
        <v>33</v>
      </c>
      <c r="O671" s="27" t="s">
        <v>53</v>
      </c>
      <c r="P671" s="27" t="s">
        <v>357</v>
      </c>
      <c r="Q671" s="27" t="s">
        <v>1429</v>
      </c>
      <c r="R671" s="33">
        <v>54220</v>
      </c>
      <c r="S671" s="34">
        <v>42063</v>
      </c>
      <c r="T671" s="34">
        <v>42063</v>
      </c>
      <c r="U671" s="29">
        <v>-46.5244</v>
      </c>
      <c r="V671" s="26">
        <v>18</v>
      </c>
      <c r="W671" s="29">
        <v>127.83</v>
      </c>
      <c r="X671" s="26">
        <v>91166</v>
      </c>
      <c r="Y671" s="35">
        <v>6.4700000000000006</v>
      </c>
      <c r="Z671" s="1" t="s">
        <v>3012</v>
      </c>
      <c r="AA671" s="36">
        <v>1.1664000000000001</v>
      </c>
      <c r="AB671" s="54">
        <v>80.532899999999998</v>
      </c>
      <c r="AC671" s="54">
        <v>2.6276166666666665</v>
      </c>
      <c r="AD671" s="36">
        <v>166.61799999999999</v>
      </c>
    </row>
    <row r="672" spans="1:30" s="37" customFormat="1" ht="15.75" customHeight="1" x14ac:dyDescent="0.2">
      <c r="A672" s="26">
        <v>719</v>
      </c>
      <c r="B672" s="27" t="s">
        <v>1435</v>
      </c>
      <c r="C672" s="27" t="s">
        <v>3094</v>
      </c>
      <c r="D672" s="28">
        <v>0</v>
      </c>
      <c r="E672" s="29">
        <v>8.5</v>
      </c>
      <c r="F672" s="29">
        <v>1.99</v>
      </c>
      <c r="G672" s="30" t="s">
        <v>39</v>
      </c>
      <c r="H672" s="27" t="s">
        <v>94</v>
      </c>
      <c r="I672" s="27" t="s">
        <v>41</v>
      </c>
      <c r="J672" s="27" t="s">
        <v>42</v>
      </c>
      <c r="K672" s="27" t="s">
        <v>43</v>
      </c>
      <c r="L672" s="31" t="s">
        <v>1406</v>
      </c>
      <c r="M672" s="32">
        <v>0.49</v>
      </c>
      <c r="N672" s="27" t="s">
        <v>33</v>
      </c>
      <c r="O672" s="27" t="s">
        <v>60</v>
      </c>
      <c r="P672" s="27" t="s">
        <v>296</v>
      </c>
      <c r="Q672" s="27" t="s">
        <v>1436</v>
      </c>
      <c r="R672" s="33">
        <v>89041</v>
      </c>
      <c r="S672" s="34">
        <v>42063</v>
      </c>
      <c r="T672" s="34">
        <v>42065</v>
      </c>
      <c r="U672" s="29">
        <v>71.735600000000005</v>
      </c>
      <c r="V672" s="26">
        <v>14</v>
      </c>
      <c r="W672" s="29">
        <v>122.25</v>
      </c>
      <c r="X672" s="26">
        <v>89344</v>
      </c>
      <c r="Y672" s="35">
        <v>20.939999999999998</v>
      </c>
      <c r="Z672" s="1" t="s">
        <v>3013</v>
      </c>
      <c r="AA672" s="36">
        <v>0</v>
      </c>
      <c r="AB672" s="54">
        <v>62.347500000000004</v>
      </c>
      <c r="AC672" s="54">
        <v>4.2787500000000005</v>
      </c>
      <c r="AD672" s="36">
        <v>48.5244</v>
      </c>
    </row>
    <row r="673" spans="1:30" s="37" customFormat="1" ht="15.75" customHeight="1" x14ac:dyDescent="0.2">
      <c r="A673" s="26">
        <v>3151</v>
      </c>
      <c r="B673" s="27" t="s">
        <v>953</v>
      </c>
      <c r="C673" s="27" t="s">
        <v>116</v>
      </c>
      <c r="D673" s="28">
        <v>0.04</v>
      </c>
      <c r="E673" s="29">
        <v>17.239999999999998</v>
      </c>
      <c r="F673" s="29">
        <v>3.26</v>
      </c>
      <c r="G673" s="30" t="s">
        <v>39</v>
      </c>
      <c r="H673" s="27" t="s">
        <v>71</v>
      </c>
      <c r="I673" s="27" t="s">
        <v>49</v>
      </c>
      <c r="J673" s="27" t="s">
        <v>568</v>
      </c>
      <c r="K673" s="27" t="s">
        <v>43</v>
      </c>
      <c r="L673" s="31" t="s">
        <v>1434</v>
      </c>
      <c r="M673" s="32">
        <v>0.56000000000000005</v>
      </c>
      <c r="N673" s="27" t="s">
        <v>33</v>
      </c>
      <c r="O673" s="27" t="s">
        <v>60</v>
      </c>
      <c r="P673" s="27" t="s">
        <v>90</v>
      </c>
      <c r="Q673" s="27" t="s">
        <v>954</v>
      </c>
      <c r="R673" s="33">
        <v>92277</v>
      </c>
      <c r="S673" s="34">
        <v>42063</v>
      </c>
      <c r="T673" s="34">
        <v>42063</v>
      </c>
      <c r="U673" s="29">
        <v>47.73</v>
      </c>
      <c r="V673" s="26">
        <v>7</v>
      </c>
      <c r="W673" s="29">
        <v>119.6</v>
      </c>
      <c r="X673" s="26">
        <v>88546</v>
      </c>
      <c r="Y673" s="35">
        <v>6.37</v>
      </c>
      <c r="Z673" s="1" t="s">
        <v>3013</v>
      </c>
      <c r="AA673" s="36">
        <v>4.8271999999999995</v>
      </c>
      <c r="AB673" s="54">
        <v>52.623999999999988</v>
      </c>
      <c r="AC673" s="54">
        <v>9.5680000000000014</v>
      </c>
      <c r="AD673" s="36">
        <v>63.782800000000002</v>
      </c>
    </row>
    <row r="674" spans="1:30" s="37" customFormat="1" ht="15.75" customHeight="1" x14ac:dyDescent="0.2">
      <c r="A674" s="26">
        <v>2923</v>
      </c>
      <c r="B674" s="27" t="s">
        <v>1432</v>
      </c>
      <c r="C674" s="27" t="s">
        <v>116</v>
      </c>
      <c r="D674" s="28">
        <v>0</v>
      </c>
      <c r="E674" s="29">
        <v>6.37</v>
      </c>
      <c r="F674" s="29">
        <v>5.19</v>
      </c>
      <c r="G674" s="30" t="s">
        <v>39</v>
      </c>
      <c r="H674" s="27" t="s">
        <v>40</v>
      </c>
      <c r="I674" s="27" t="s">
        <v>49</v>
      </c>
      <c r="J674" s="27" t="s">
        <v>72</v>
      </c>
      <c r="K674" s="27" t="s">
        <v>73</v>
      </c>
      <c r="L674" s="31" t="s">
        <v>907</v>
      </c>
      <c r="M674" s="32">
        <v>0.38</v>
      </c>
      <c r="N674" s="27" t="s">
        <v>33</v>
      </c>
      <c r="O674" s="27" t="s">
        <v>111</v>
      </c>
      <c r="P674" s="27" t="s">
        <v>418</v>
      </c>
      <c r="Q674" s="27" t="s">
        <v>1433</v>
      </c>
      <c r="R674" s="33">
        <v>21740</v>
      </c>
      <c r="S674" s="34">
        <v>42063</v>
      </c>
      <c r="T674" s="34">
        <v>42065</v>
      </c>
      <c r="U674" s="29">
        <v>-27.1492</v>
      </c>
      <c r="V674" s="26">
        <v>15</v>
      </c>
      <c r="W674" s="29">
        <v>99.75</v>
      </c>
      <c r="X674" s="26">
        <v>86592</v>
      </c>
      <c r="Y674" s="35">
        <v>17.2</v>
      </c>
      <c r="Z674" s="1" t="s">
        <v>3014</v>
      </c>
      <c r="AA674" s="36">
        <v>0</v>
      </c>
      <c r="AB674" s="54">
        <v>61.844999999999999</v>
      </c>
      <c r="AC674" s="54">
        <v>2.5270000000000001</v>
      </c>
      <c r="AD674" s="36">
        <v>121.7092</v>
      </c>
    </row>
    <row r="675" spans="1:30" s="37" customFormat="1" ht="15.75" customHeight="1" x14ac:dyDescent="0.2">
      <c r="A675" s="26">
        <v>3075</v>
      </c>
      <c r="B675" s="27" t="s">
        <v>1419</v>
      </c>
      <c r="C675" s="27" t="s">
        <v>48</v>
      </c>
      <c r="D675" s="28">
        <v>0.06</v>
      </c>
      <c r="E675" s="29">
        <v>19.23</v>
      </c>
      <c r="F675" s="29">
        <v>6.15</v>
      </c>
      <c r="G675" s="30" t="s">
        <v>39</v>
      </c>
      <c r="H675" s="27" t="s">
        <v>94</v>
      </c>
      <c r="I675" s="27" t="s">
        <v>29</v>
      </c>
      <c r="J675" s="27" t="s">
        <v>126</v>
      </c>
      <c r="K675" s="27" t="s">
        <v>43</v>
      </c>
      <c r="L675" s="31" t="s">
        <v>1277</v>
      </c>
      <c r="M675" s="32">
        <v>0.44</v>
      </c>
      <c r="N675" s="27" t="s">
        <v>33</v>
      </c>
      <c r="O675" s="27" t="s">
        <v>60</v>
      </c>
      <c r="P675" s="27" t="s">
        <v>90</v>
      </c>
      <c r="Q675" s="27" t="s">
        <v>100</v>
      </c>
      <c r="R675" s="33">
        <v>90061</v>
      </c>
      <c r="S675" s="34">
        <v>42063</v>
      </c>
      <c r="T675" s="34">
        <v>42063</v>
      </c>
      <c r="U675" s="29">
        <v>-25.38</v>
      </c>
      <c r="V675" s="26">
        <v>4</v>
      </c>
      <c r="W675" s="29">
        <v>84.6</v>
      </c>
      <c r="X675" s="26">
        <v>14756</v>
      </c>
      <c r="Y675" s="35">
        <v>8.5</v>
      </c>
      <c r="Z675" s="1" t="s">
        <v>3013</v>
      </c>
      <c r="AA675" s="36">
        <v>4.6151999999999997</v>
      </c>
      <c r="AB675" s="54">
        <v>47.376000000000005</v>
      </c>
      <c r="AC675" s="54">
        <v>9.3059999999999992</v>
      </c>
      <c r="AD675" s="36">
        <v>99.214799999999997</v>
      </c>
    </row>
    <row r="676" spans="1:30" s="37" customFormat="1" ht="15.75" customHeight="1" x14ac:dyDescent="0.2">
      <c r="A676" s="26">
        <v>2220</v>
      </c>
      <c r="B676" s="27" t="s">
        <v>1417</v>
      </c>
      <c r="C676" s="27" t="s">
        <v>48</v>
      </c>
      <c r="D676" s="28">
        <v>0.09</v>
      </c>
      <c r="E676" s="29">
        <v>14.2</v>
      </c>
      <c r="F676" s="29">
        <v>5.3</v>
      </c>
      <c r="G676" s="30" t="s">
        <v>39</v>
      </c>
      <c r="H676" s="27" t="s">
        <v>40</v>
      </c>
      <c r="I676" s="27" t="s">
        <v>29</v>
      </c>
      <c r="J676" s="27" t="s">
        <v>126</v>
      </c>
      <c r="K676" s="27" t="s">
        <v>51</v>
      </c>
      <c r="L676" s="31" t="s">
        <v>288</v>
      </c>
      <c r="M676" s="32">
        <v>0.46</v>
      </c>
      <c r="N676" s="27" t="s">
        <v>33</v>
      </c>
      <c r="O676" s="27" t="s">
        <v>34</v>
      </c>
      <c r="P676" s="27" t="s">
        <v>123</v>
      </c>
      <c r="Q676" s="27" t="s">
        <v>1418</v>
      </c>
      <c r="R676" s="33">
        <v>34787</v>
      </c>
      <c r="S676" s="34">
        <v>42063</v>
      </c>
      <c r="T676" s="34">
        <v>42064</v>
      </c>
      <c r="U676" s="29">
        <v>-324.73</v>
      </c>
      <c r="V676" s="26">
        <v>4</v>
      </c>
      <c r="W676" s="29">
        <v>55.08</v>
      </c>
      <c r="X676" s="26">
        <v>91036</v>
      </c>
      <c r="Y676" s="35">
        <v>95.4</v>
      </c>
      <c r="Z676" s="1" t="s">
        <v>3011</v>
      </c>
      <c r="AA676" s="36">
        <v>5.1119999999999992</v>
      </c>
      <c r="AB676" s="54">
        <v>29.743200000000002</v>
      </c>
      <c r="AC676" s="54">
        <v>6.3342000000000001</v>
      </c>
      <c r="AD676" s="36">
        <v>369.39799999999997</v>
      </c>
    </row>
    <row r="677" spans="1:30" s="37" customFormat="1" ht="15.75" customHeight="1" x14ac:dyDescent="0.2">
      <c r="A677" s="26">
        <v>3355</v>
      </c>
      <c r="B677" s="27" t="s">
        <v>1422</v>
      </c>
      <c r="C677" s="27" t="s">
        <v>48</v>
      </c>
      <c r="D677" s="28">
        <v>0.08</v>
      </c>
      <c r="E677" s="29">
        <v>8.32</v>
      </c>
      <c r="F677" s="29">
        <v>2.38</v>
      </c>
      <c r="G677" s="30" t="s">
        <v>87</v>
      </c>
      <c r="H677" s="27" t="s">
        <v>94</v>
      </c>
      <c r="I677" s="27" t="s">
        <v>41</v>
      </c>
      <c r="J677" s="27" t="s">
        <v>42</v>
      </c>
      <c r="K677" s="27" t="s">
        <v>43</v>
      </c>
      <c r="L677" s="31" t="s">
        <v>1425</v>
      </c>
      <c r="M677" s="32">
        <v>0.74</v>
      </c>
      <c r="N677" s="27" t="s">
        <v>33</v>
      </c>
      <c r="O677" s="27" t="s">
        <v>60</v>
      </c>
      <c r="P677" s="27" t="s">
        <v>90</v>
      </c>
      <c r="Q677" s="27" t="s">
        <v>1424</v>
      </c>
      <c r="R677" s="33">
        <v>93010</v>
      </c>
      <c r="S677" s="34">
        <v>42063</v>
      </c>
      <c r="T677" s="34">
        <v>42067</v>
      </c>
      <c r="U677" s="29">
        <v>-41.83</v>
      </c>
      <c r="V677" s="26">
        <v>6</v>
      </c>
      <c r="W677" s="29">
        <v>48.99</v>
      </c>
      <c r="X677" s="26">
        <v>88587</v>
      </c>
      <c r="Y677" s="35">
        <v>9.6</v>
      </c>
      <c r="Z677" s="1" t="s">
        <v>3013</v>
      </c>
      <c r="AA677" s="36">
        <v>3.9936000000000007</v>
      </c>
      <c r="AB677" s="54">
        <v>12.737400000000001</v>
      </c>
      <c r="AC677" s="54">
        <v>6.0421000000000005</v>
      </c>
      <c r="AD677" s="36">
        <v>84.446399999999997</v>
      </c>
    </row>
    <row r="678" spans="1:30" s="37" customFormat="1" ht="15.75" customHeight="1" x14ac:dyDescent="0.2">
      <c r="A678" s="26">
        <v>2908</v>
      </c>
      <c r="B678" s="27" t="s">
        <v>325</v>
      </c>
      <c r="C678" s="27" t="s">
        <v>3094</v>
      </c>
      <c r="D678" s="28">
        <v>0</v>
      </c>
      <c r="E678" s="29">
        <v>3.14</v>
      </c>
      <c r="F678" s="29">
        <v>1.92</v>
      </c>
      <c r="G678" s="30" t="s">
        <v>39</v>
      </c>
      <c r="H678" s="27" t="s">
        <v>71</v>
      </c>
      <c r="I678" s="27" t="s">
        <v>49</v>
      </c>
      <c r="J678" s="27" t="s">
        <v>568</v>
      </c>
      <c r="K678" s="27" t="s">
        <v>51</v>
      </c>
      <c r="L678" s="31" t="s">
        <v>1440</v>
      </c>
      <c r="M678" s="32">
        <v>0.84</v>
      </c>
      <c r="N678" s="27" t="s">
        <v>33</v>
      </c>
      <c r="O678" s="27" t="s">
        <v>111</v>
      </c>
      <c r="P678" s="27" t="s">
        <v>317</v>
      </c>
      <c r="Q678" s="27" t="s">
        <v>327</v>
      </c>
      <c r="R678" s="33">
        <v>44125</v>
      </c>
      <c r="S678" s="34">
        <v>42063</v>
      </c>
      <c r="T678" s="34">
        <v>42065</v>
      </c>
      <c r="U678" s="29">
        <v>-13.135199999999999</v>
      </c>
      <c r="V678" s="26">
        <v>8</v>
      </c>
      <c r="W678" s="29">
        <v>27.53</v>
      </c>
      <c r="X678" s="26">
        <v>88157</v>
      </c>
      <c r="Y678" s="35">
        <v>34.93</v>
      </c>
      <c r="Z678" s="1" t="s">
        <v>3014</v>
      </c>
      <c r="AA678" s="36">
        <v>0</v>
      </c>
      <c r="AB678" s="54">
        <v>4.4048000000000007</v>
      </c>
      <c r="AC678" s="54">
        <v>2.8906499999999999</v>
      </c>
      <c r="AD678" s="36">
        <v>38.745199999999997</v>
      </c>
    </row>
    <row r="679" spans="1:30" s="37" customFormat="1" ht="15.75" customHeight="1" x14ac:dyDescent="0.2">
      <c r="A679" s="26">
        <v>972</v>
      </c>
      <c r="B679" s="27" t="s">
        <v>1414</v>
      </c>
      <c r="C679" s="27" t="s">
        <v>48</v>
      </c>
      <c r="D679" s="28">
        <v>0</v>
      </c>
      <c r="E679" s="29">
        <v>12.99</v>
      </c>
      <c r="F679" s="29">
        <v>14.37</v>
      </c>
      <c r="G679" s="30" t="s">
        <v>39</v>
      </c>
      <c r="H679" s="27" t="s">
        <v>94</v>
      </c>
      <c r="I679" s="27" t="s">
        <v>29</v>
      </c>
      <c r="J679" s="27" t="s">
        <v>126</v>
      </c>
      <c r="K679" s="27" t="s">
        <v>65</v>
      </c>
      <c r="L679" s="31" t="s">
        <v>406</v>
      </c>
      <c r="M679" s="32">
        <v>0.73</v>
      </c>
      <c r="N679" s="27" t="s">
        <v>33</v>
      </c>
      <c r="O679" s="27" t="s">
        <v>60</v>
      </c>
      <c r="P679" s="27" t="s">
        <v>90</v>
      </c>
      <c r="Q679" s="27" t="s">
        <v>1416</v>
      </c>
      <c r="R679" s="33">
        <v>92503</v>
      </c>
      <c r="S679" s="34">
        <v>42063</v>
      </c>
      <c r="T679" s="34">
        <v>42063</v>
      </c>
      <c r="U679" s="29">
        <v>12.896100000000001</v>
      </c>
      <c r="V679" s="26">
        <v>1</v>
      </c>
      <c r="W679" s="29">
        <v>18.690000000000001</v>
      </c>
      <c r="X679" s="26">
        <v>87259</v>
      </c>
      <c r="Y679" s="35">
        <v>3.14</v>
      </c>
      <c r="Z679" s="1" t="s">
        <v>3013</v>
      </c>
      <c r="AA679" s="36">
        <v>0</v>
      </c>
      <c r="AB679" s="54">
        <v>5.0463000000000005</v>
      </c>
      <c r="AC679" s="54">
        <v>13.643700000000001</v>
      </c>
      <c r="AD679" s="36">
        <v>-8.5761000000000003</v>
      </c>
    </row>
    <row r="680" spans="1:30" s="37" customFormat="1" ht="15.75" customHeight="1" x14ac:dyDescent="0.2">
      <c r="A680" s="26">
        <v>3098</v>
      </c>
      <c r="B680" s="27" t="s">
        <v>1420</v>
      </c>
      <c r="C680" s="27" t="s">
        <v>48</v>
      </c>
      <c r="D680" s="28">
        <v>0.06</v>
      </c>
      <c r="E680" s="29">
        <v>2.89</v>
      </c>
      <c r="F680" s="29">
        <v>0.5</v>
      </c>
      <c r="G680" s="30" t="s">
        <v>39</v>
      </c>
      <c r="H680" s="27" t="s">
        <v>40</v>
      </c>
      <c r="I680" s="27" t="s">
        <v>49</v>
      </c>
      <c r="J680" s="27" t="s">
        <v>152</v>
      </c>
      <c r="K680" s="27" t="s">
        <v>73</v>
      </c>
      <c r="L680" s="31" t="s">
        <v>729</v>
      </c>
      <c r="M680" s="32">
        <v>0.38</v>
      </c>
      <c r="N680" s="27" t="s">
        <v>33</v>
      </c>
      <c r="O680" s="27" t="s">
        <v>111</v>
      </c>
      <c r="P680" s="27" t="s">
        <v>112</v>
      </c>
      <c r="Q680" s="27" t="s">
        <v>1421</v>
      </c>
      <c r="R680" s="33">
        <v>11967</v>
      </c>
      <c r="S680" s="34">
        <v>42063</v>
      </c>
      <c r="T680" s="34">
        <v>42063</v>
      </c>
      <c r="U680" s="29">
        <v>9.6117000000000008</v>
      </c>
      <c r="V680" s="26">
        <v>5</v>
      </c>
      <c r="W680" s="29">
        <v>13.93</v>
      </c>
      <c r="X680" s="26">
        <v>89316</v>
      </c>
      <c r="Y680" s="35">
        <v>11.450000000000001</v>
      </c>
      <c r="Z680" s="1" t="s">
        <v>3014</v>
      </c>
      <c r="AA680" s="36">
        <v>0.86699999999999999</v>
      </c>
      <c r="AB680" s="54">
        <v>8.6365999999999996</v>
      </c>
      <c r="AC680" s="54">
        <v>1.0586800000000001</v>
      </c>
      <c r="AD680" s="36">
        <v>2.9512999999999998</v>
      </c>
    </row>
    <row r="681" spans="1:30" s="37" customFormat="1" ht="15.75" customHeight="1" x14ac:dyDescent="0.2">
      <c r="A681" s="26">
        <v>1885</v>
      </c>
      <c r="B681" s="27" t="s">
        <v>1465</v>
      </c>
      <c r="C681" s="27" t="s">
        <v>3094</v>
      </c>
      <c r="D681" s="28">
        <v>0.05</v>
      </c>
      <c r="E681" s="29">
        <v>535.64</v>
      </c>
      <c r="F681" s="29">
        <v>14.7</v>
      </c>
      <c r="G681" s="30" t="s">
        <v>27</v>
      </c>
      <c r="H681" s="27" t="s">
        <v>71</v>
      </c>
      <c r="I681" s="27" t="s">
        <v>41</v>
      </c>
      <c r="J681" s="27" t="s">
        <v>57</v>
      </c>
      <c r="K681" s="27" t="s">
        <v>58</v>
      </c>
      <c r="L681" s="31" t="s">
        <v>1466</v>
      </c>
      <c r="M681" s="32">
        <v>0.59</v>
      </c>
      <c r="N681" s="27" t="s">
        <v>33</v>
      </c>
      <c r="O681" s="27" t="s">
        <v>111</v>
      </c>
      <c r="P681" s="27" t="s">
        <v>584</v>
      </c>
      <c r="Q681" s="27" t="s">
        <v>1467</v>
      </c>
      <c r="R681" s="33">
        <v>2806</v>
      </c>
      <c r="S681" s="34">
        <v>42064</v>
      </c>
      <c r="T681" s="34">
        <v>42066</v>
      </c>
      <c r="U681" s="29">
        <v>4407.4399999999996</v>
      </c>
      <c r="V681" s="26">
        <v>15</v>
      </c>
      <c r="W681" s="29">
        <v>7029.1</v>
      </c>
      <c r="X681" s="26">
        <v>87378</v>
      </c>
      <c r="Y681" s="35">
        <v>90.89</v>
      </c>
      <c r="Z681" s="1" t="s">
        <v>3014</v>
      </c>
      <c r="AA681" s="36">
        <v>401.73</v>
      </c>
      <c r="AB681" s="54">
        <v>2881.9310000000005</v>
      </c>
      <c r="AC681" s="54">
        <v>276.47793333333334</v>
      </c>
      <c r="AD681" s="36">
        <v>2205.2300000000014</v>
      </c>
    </row>
    <row r="682" spans="1:30" s="37" customFormat="1" ht="15.75" customHeight="1" x14ac:dyDescent="0.2">
      <c r="A682" s="26">
        <v>2454</v>
      </c>
      <c r="B682" s="27" t="s">
        <v>1461</v>
      </c>
      <c r="C682" s="27" t="s">
        <v>116</v>
      </c>
      <c r="D682" s="28">
        <v>0.06</v>
      </c>
      <c r="E682" s="29">
        <v>3499.99</v>
      </c>
      <c r="F682" s="29">
        <v>24.49</v>
      </c>
      <c r="G682" s="30" t="s">
        <v>87</v>
      </c>
      <c r="H682" s="27" t="s">
        <v>94</v>
      </c>
      <c r="I682" s="27" t="s">
        <v>41</v>
      </c>
      <c r="J682" s="27" t="s">
        <v>64</v>
      </c>
      <c r="K682" s="27" t="s">
        <v>65</v>
      </c>
      <c r="L682" s="31" t="s">
        <v>518</v>
      </c>
      <c r="M682" s="32">
        <v>0.37</v>
      </c>
      <c r="N682" s="27" t="s">
        <v>33</v>
      </c>
      <c r="O682" s="27" t="s">
        <v>34</v>
      </c>
      <c r="P682" s="27" t="s">
        <v>164</v>
      </c>
      <c r="Q682" s="27" t="s">
        <v>1462</v>
      </c>
      <c r="R682" s="33">
        <v>35244</v>
      </c>
      <c r="S682" s="34">
        <v>42064</v>
      </c>
      <c r="T682" s="34">
        <v>42067</v>
      </c>
      <c r="U682" s="29">
        <v>-68.432000000000002</v>
      </c>
      <c r="V682" s="26">
        <v>1</v>
      </c>
      <c r="W682" s="29">
        <v>3550.28</v>
      </c>
      <c r="X682" s="26">
        <v>89219</v>
      </c>
      <c r="Y682" s="35">
        <v>28.39</v>
      </c>
      <c r="Z682" s="1" t="s">
        <v>3011</v>
      </c>
      <c r="AA682" s="36">
        <v>209.99939999999998</v>
      </c>
      <c r="AB682" s="54">
        <v>2236.6764000000003</v>
      </c>
      <c r="AC682" s="54">
        <v>1313.6036000000001</v>
      </c>
      <c r="AD682" s="36">
        <v>3384.2226000000001</v>
      </c>
    </row>
    <row r="683" spans="1:30" s="37" customFormat="1" ht="15.75" customHeight="1" x14ac:dyDescent="0.2">
      <c r="A683" s="26">
        <v>946</v>
      </c>
      <c r="B683" s="27" t="s">
        <v>1443</v>
      </c>
      <c r="C683" s="27" t="s">
        <v>26</v>
      </c>
      <c r="D683" s="28">
        <v>0.09</v>
      </c>
      <c r="E683" s="29">
        <v>90.98</v>
      </c>
      <c r="F683" s="29">
        <v>56.2</v>
      </c>
      <c r="G683" s="30" t="s">
        <v>87</v>
      </c>
      <c r="H683" s="27" t="s">
        <v>71</v>
      </c>
      <c r="I683" s="27" t="s">
        <v>29</v>
      </c>
      <c r="J683" s="27" t="s">
        <v>126</v>
      </c>
      <c r="K683" s="27" t="s">
        <v>144</v>
      </c>
      <c r="L683" s="31" t="s">
        <v>807</v>
      </c>
      <c r="M683" s="32">
        <v>0.74</v>
      </c>
      <c r="N683" s="27" t="s">
        <v>33</v>
      </c>
      <c r="O683" s="27" t="s">
        <v>111</v>
      </c>
      <c r="P683" s="27" t="s">
        <v>331</v>
      </c>
      <c r="Q683" s="27" t="s">
        <v>1204</v>
      </c>
      <c r="R683" s="33">
        <v>4210</v>
      </c>
      <c r="S683" s="34">
        <v>42064</v>
      </c>
      <c r="T683" s="34">
        <v>42065</v>
      </c>
      <c r="U683" s="29">
        <v>-1570.32</v>
      </c>
      <c r="V683" s="26">
        <v>20</v>
      </c>
      <c r="W683" s="29">
        <v>1782.44</v>
      </c>
      <c r="X683" s="26">
        <v>86566</v>
      </c>
      <c r="Y683" s="35">
        <v>2.08</v>
      </c>
      <c r="Z683" s="1" t="s">
        <v>3014</v>
      </c>
      <c r="AA683" s="36">
        <v>163.76400000000001</v>
      </c>
      <c r="AB683" s="54">
        <v>463.43440000000004</v>
      </c>
      <c r="AC683" s="54">
        <v>65.950279999999992</v>
      </c>
      <c r="AD683" s="36">
        <v>3132.7959999999998</v>
      </c>
    </row>
    <row r="684" spans="1:30" s="37" customFormat="1" ht="15.75" customHeight="1" x14ac:dyDescent="0.2">
      <c r="A684" s="26">
        <v>1014</v>
      </c>
      <c r="B684" s="27" t="s">
        <v>1444</v>
      </c>
      <c r="C684" s="27" t="s">
        <v>26</v>
      </c>
      <c r="D684" s="28">
        <v>0.06</v>
      </c>
      <c r="E684" s="29">
        <v>45.99</v>
      </c>
      <c r="F684" s="29">
        <v>4.99</v>
      </c>
      <c r="G684" s="30" t="s">
        <v>87</v>
      </c>
      <c r="H684" s="27" t="s">
        <v>71</v>
      </c>
      <c r="I684" s="27" t="s">
        <v>41</v>
      </c>
      <c r="J684" s="27" t="s">
        <v>135</v>
      </c>
      <c r="K684" s="27" t="s">
        <v>73</v>
      </c>
      <c r="L684" s="31" t="s">
        <v>1446</v>
      </c>
      <c r="M684" s="32">
        <v>0.56000000000000005</v>
      </c>
      <c r="N684" s="27" t="s">
        <v>33</v>
      </c>
      <c r="O684" s="27" t="s">
        <v>34</v>
      </c>
      <c r="P684" s="27" t="s">
        <v>45</v>
      </c>
      <c r="Q684" s="27" t="s">
        <v>1445</v>
      </c>
      <c r="R684" s="33">
        <v>72022</v>
      </c>
      <c r="S684" s="34">
        <v>42064</v>
      </c>
      <c r="T684" s="34">
        <v>42065</v>
      </c>
      <c r="U684" s="29">
        <v>-329.78399999999999</v>
      </c>
      <c r="V684" s="26">
        <v>10</v>
      </c>
      <c r="W684" s="29">
        <v>370.81</v>
      </c>
      <c r="X684" s="26">
        <v>88387</v>
      </c>
      <c r="Y684" s="35">
        <v>45.93</v>
      </c>
      <c r="Z684" s="1" t="s">
        <v>3011</v>
      </c>
      <c r="AA684" s="36">
        <v>27.593999999999998</v>
      </c>
      <c r="AB684" s="54">
        <v>163.15639999999999</v>
      </c>
      <c r="AC684" s="54">
        <v>20.765360000000005</v>
      </c>
      <c r="AD684" s="36">
        <v>668.01</v>
      </c>
    </row>
    <row r="685" spans="1:30" s="37" customFormat="1" ht="15.75" customHeight="1" x14ac:dyDescent="0.2">
      <c r="A685" s="26">
        <v>1280</v>
      </c>
      <c r="B685" s="27" t="s">
        <v>1449</v>
      </c>
      <c r="C685" s="27" t="s">
        <v>26</v>
      </c>
      <c r="D685" s="28">
        <v>7.0000000000000007E-2</v>
      </c>
      <c r="E685" s="29">
        <v>40.98</v>
      </c>
      <c r="F685" s="29">
        <v>7.47</v>
      </c>
      <c r="G685" s="30" t="s">
        <v>39</v>
      </c>
      <c r="H685" s="27" t="s">
        <v>94</v>
      </c>
      <c r="I685" s="27" t="s">
        <v>49</v>
      </c>
      <c r="J685" s="27" t="s">
        <v>72</v>
      </c>
      <c r="K685" s="27" t="s">
        <v>73</v>
      </c>
      <c r="L685" s="31" t="s">
        <v>1379</v>
      </c>
      <c r="M685" s="32">
        <v>0.37</v>
      </c>
      <c r="N685" s="27" t="s">
        <v>33</v>
      </c>
      <c r="O685" s="27" t="s">
        <v>60</v>
      </c>
      <c r="P685" s="27" t="s">
        <v>67</v>
      </c>
      <c r="Q685" s="27" t="s">
        <v>142</v>
      </c>
      <c r="R685" s="33">
        <v>98119</v>
      </c>
      <c r="S685" s="34">
        <v>42064</v>
      </c>
      <c r="T685" s="34">
        <v>42065</v>
      </c>
      <c r="U685" s="29">
        <v>54.901499999999999</v>
      </c>
      <c r="V685" s="26">
        <v>8</v>
      </c>
      <c r="W685" s="29">
        <v>327.61</v>
      </c>
      <c r="X685" s="26">
        <v>19042</v>
      </c>
      <c r="Y685" s="35">
        <v>40.909999999999997</v>
      </c>
      <c r="Z685" s="1" t="s">
        <v>3013</v>
      </c>
      <c r="AA685" s="36">
        <v>22.948800000000002</v>
      </c>
      <c r="AB685" s="54">
        <v>206.39430000000002</v>
      </c>
      <c r="AC685" s="54">
        <v>15.1519625</v>
      </c>
      <c r="AD685" s="36">
        <v>242.28970000000001</v>
      </c>
    </row>
    <row r="686" spans="1:30" s="37" customFormat="1" ht="15.75" customHeight="1" x14ac:dyDescent="0.2">
      <c r="A686" s="26">
        <v>2437</v>
      </c>
      <c r="B686" s="27" t="s">
        <v>1459</v>
      </c>
      <c r="C686" s="27" t="s">
        <v>48</v>
      </c>
      <c r="D686" s="28">
        <v>0.09</v>
      </c>
      <c r="E686" s="29">
        <v>90.97</v>
      </c>
      <c r="F686" s="29">
        <v>14</v>
      </c>
      <c r="G686" s="30" t="s">
        <v>27</v>
      </c>
      <c r="H686" s="27" t="s">
        <v>71</v>
      </c>
      <c r="I686" s="27" t="s">
        <v>41</v>
      </c>
      <c r="J686" s="27" t="s">
        <v>57</v>
      </c>
      <c r="K686" s="27" t="s">
        <v>58</v>
      </c>
      <c r="L686" s="31" t="s">
        <v>1110</v>
      </c>
      <c r="M686" s="32">
        <v>0.36</v>
      </c>
      <c r="N686" s="27" t="s">
        <v>33</v>
      </c>
      <c r="O686" s="27" t="s">
        <v>53</v>
      </c>
      <c r="P686" s="27" t="s">
        <v>357</v>
      </c>
      <c r="Q686" s="27" t="s">
        <v>1460</v>
      </c>
      <c r="R686" s="33">
        <v>53150</v>
      </c>
      <c r="S686" s="34">
        <v>42064</v>
      </c>
      <c r="T686" s="34">
        <v>42066</v>
      </c>
      <c r="U686" s="29">
        <v>35.29</v>
      </c>
      <c r="V686" s="26">
        <v>3</v>
      </c>
      <c r="W686" s="29">
        <v>260</v>
      </c>
      <c r="X686" s="26">
        <v>90301</v>
      </c>
      <c r="Y686" s="35">
        <v>40.909999999999997</v>
      </c>
      <c r="Z686" s="1" t="s">
        <v>3012</v>
      </c>
      <c r="AA686" s="36">
        <v>24.561900000000001</v>
      </c>
      <c r="AB686" s="54">
        <v>166.4</v>
      </c>
      <c r="AC686" s="54">
        <v>31.2</v>
      </c>
      <c r="AD686" s="36">
        <v>186.1481</v>
      </c>
    </row>
    <row r="687" spans="1:30" s="37" customFormat="1" ht="15.75" customHeight="1" x14ac:dyDescent="0.2">
      <c r="A687" s="26">
        <v>1917</v>
      </c>
      <c r="B687" s="27" t="s">
        <v>1456</v>
      </c>
      <c r="C687" s="27" t="s">
        <v>38</v>
      </c>
      <c r="D687" s="28">
        <v>0.08</v>
      </c>
      <c r="E687" s="29">
        <v>22.23</v>
      </c>
      <c r="F687" s="29">
        <v>3.63</v>
      </c>
      <c r="G687" s="30" t="s">
        <v>39</v>
      </c>
      <c r="H687" s="27" t="s">
        <v>71</v>
      </c>
      <c r="I687" s="27" t="s">
        <v>29</v>
      </c>
      <c r="J687" s="27" t="s">
        <v>126</v>
      </c>
      <c r="K687" s="27" t="s">
        <v>43</v>
      </c>
      <c r="L687" s="31" t="s">
        <v>1457</v>
      </c>
      <c r="M687" s="32">
        <v>0.52</v>
      </c>
      <c r="N687" s="27" t="s">
        <v>33</v>
      </c>
      <c r="O687" s="27" t="s">
        <v>34</v>
      </c>
      <c r="P687" s="27" t="s">
        <v>45</v>
      </c>
      <c r="Q687" s="27" t="s">
        <v>1458</v>
      </c>
      <c r="R687" s="33">
        <v>72113</v>
      </c>
      <c r="S687" s="34">
        <v>42064</v>
      </c>
      <c r="T687" s="34">
        <v>42066</v>
      </c>
      <c r="U687" s="29">
        <v>-29.61</v>
      </c>
      <c r="V687" s="26">
        <v>10</v>
      </c>
      <c r="W687" s="29">
        <v>210.33</v>
      </c>
      <c r="X687" s="26">
        <v>85897</v>
      </c>
      <c r="Y687" s="35">
        <v>6.6400000000000006</v>
      </c>
      <c r="Z687" s="1" t="s">
        <v>3011</v>
      </c>
      <c r="AA687" s="36">
        <v>17.783999999999999</v>
      </c>
      <c r="AB687" s="54">
        <v>100.9584</v>
      </c>
      <c r="AC687" s="54">
        <v>10.93716</v>
      </c>
      <c r="AD687" s="36">
        <v>218.52600000000001</v>
      </c>
    </row>
    <row r="688" spans="1:30" s="37" customFormat="1" ht="15.75" customHeight="1" x14ac:dyDescent="0.2">
      <c r="A688" s="26">
        <v>1014</v>
      </c>
      <c r="B688" s="27" t="s">
        <v>1444</v>
      </c>
      <c r="C688" s="27" t="s">
        <v>26</v>
      </c>
      <c r="D688" s="28">
        <v>0.09</v>
      </c>
      <c r="E688" s="29">
        <v>28.48</v>
      </c>
      <c r="F688" s="29">
        <v>1.99</v>
      </c>
      <c r="G688" s="30" t="s">
        <v>39</v>
      </c>
      <c r="H688" s="27" t="s">
        <v>71</v>
      </c>
      <c r="I688" s="27" t="s">
        <v>41</v>
      </c>
      <c r="J688" s="27" t="s">
        <v>42</v>
      </c>
      <c r="K688" s="27" t="s">
        <v>43</v>
      </c>
      <c r="L688" s="31" t="s">
        <v>212</v>
      </c>
      <c r="M688" s="32">
        <v>0.4</v>
      </c>
      <c r="N688" s="27" t="s">
        <v>33</v>
      </c>
      <c r="O688" s="27" t="s">
        <v>34</v>
      </c>
      <c r="P688" s="27" t="s">
        <v>45</v>
      </c>
      <c r="Q688" s="27" t="s">
        <v>1445</v>
      </c>
      <c r="R688" s="33">
        <v>72022</v>
      </c>
      <c r="S688" s="34">
        <v>42064</v>
      </c>
      <c r="T688" s="34">
        <v>42065</v>
      </c>
      <c r="U688" s="29">
        <v>-17.149999999999999</v>
      </c>
      <c r="V688" s="26">
        <v>6</v>
      </c>
      <c r="W688" s="29">
        <v>160.16999999999999</v>
      </c>
      <c r="X688" s="26">
        <v>88387</v>
      </c>
      <c r="Y688" s="35">
        <v>11.32</v>
      </c>
      <c r="Z688" s="1" t="s">
        <v>3011</v>
      </c>
      <c r="AA688" s="36">
        <v>15.379200000000001</v>
      </c>
      <c r="AB688" s="54">
        <v>96.10199999999999</v>
      </c>
      <c r="AC688" s="54">
        <v>10.677999999999999</v>
      </c>
      <c r="AD688" s="36">
        <v>159.95079999999999</v>
      </c>
    </row>
    <row r="689" spans="1:30" s="37" customFormat="1" ht="15.75" customHeight="1" x14ac:dyDescent="0.2">
      <c r="A689" s="26">
        <v>1561</v>
      </c>
      <c r="B689" s="27" t="s">
        <v>1452</v>
      </c>
      <c r="C689" s="27" t="s">
        <v>38</v>
      </c>
      <c r="D689" s="28">
        <v>0.02</v>
      </c>
      <c r="E689" s="29">
        <v>11.34</v>
      </c>
      <c r="F689" s="29">
        <v>11.25</v>
      </c>
      <c r="G689" s="30" t="s">
        <v>39</v>
      </c>
      <c r="H689" s="27" t="s">
        <v>94</v>
      </c>
      <c r="I689" s="27" t="s">
        <v>49</v>
      </c>
      <c r="J689" s="27" t="s">
        <v>88</v>
      </c>
      <c r="K689" s="27" t="s">
        <v>73</v>
      </c>
      <c r="L689" s="31" t="s">
        <v>1453</v>
      </c>
      <c r="M689" s="32">
        <v>0.36</v>
      </c>
      <c r="N689" s="27" t="s">
        <v>33</v>
      </c>
      <c r="O689" s="27" t="s">
        <v>53</v>
      </c>
      <c r="P689" s="27" t="s">
        <v>187</v>
      </c>
      <c r="Q689" s="27" t="s">
        <v>1454</v>
      </c>
      <c r="R689" s="33">
        <v>76063</v>
      </c>
      <c r="S689" s="34">
        <v>42064</v>
      </c>
      <c r="T689" s="34">
        <v>42065</v>
      </c>
      <c r="U689" s="29">
        <v>-155.21</v>
      </c>
      <c r="V689" s="26">
        <v>9</v>
      </c>
      <c r="W689" s="29">
        <v>105.75</v>
      </c>
      <c r="X689" s="26">
        <v>88093</v>
      </c>
      <c r="Y689" s="35">
        <v>19.920000000000002</v>
      </c>
      <c r="Z689" s="1" t="s">
        <v>3012</v>
      </c>
      <c r="AA689" s="36">
        <v>2.0411999999999999</v>
      </c>
      <c r="AB689" s="54">
        <v>67.680000000000007</v>
      </c>
      <c r="AC689" s="54">
        <v>4.2299999999999995</v>
      </c>
      <c r="AD689" s="36">
        <v>247.6688</v>
      </c>
    </row>
    <row r="690" spans="1:30" s="37" customFormat="1" ht="15.75" customHeight="1" x14ac:dyDescent="0.2">
      <c r="A690" s="26">
        <v>1764</v>
      </c>
      <c r="B690" s="27" t="s">
        <v>711</v>
      </c>
      <c r="C690" s="27" t="s">
        <v>38</v>
      </c>
      <c r="D690" s="28">
        <v>0.06</v>
      </c>
      <c r="E690" s="29">
        <v>19.98</v>
      </c>
      <c r="F690" s="29">
        <v>10.49</v>
      </c>
      <c r="G690" s="30" t="s">
        <v>39</v>
      </c>
      <c r="H690" s="27" t="s">
        <v>40</v>
      </c>
      <c r="I690" s="27" t="s">
        <v>29</v>
      </c>
      <c r="J690" s="27" t="s">
        <v>126</v>
      </c>
      <c r="K690" s="27" t="s">
        <v>73</v>
      </c>
      <c r="L690" s="31" t="s">
        <v>1455</v>
      </c>
      <c r="M690" s="32">
        <v>0.49</v>
      </c>
      <c r="N690" s="27" t="s">
        <v>33</v>
      </c>
      <c r="O690" s="27" t="s">
        <v>34</v>
      </c>
      <c r="P690" s="27" t="s">
        <v>123</v>
      </c>
      <c r="Q690" s="27" t="s">
        <v>713</v>
      </c>
      <c r="R690" s="33">
        <v>34698</v>
      </c>
      <c r="S690" s="34">
        <v>42064</v>
      </c>
      <c r="T690" s="34">
        <v>42066</v>
      </c>
      <c r="U690" s="29">
        <v>514.17719999999997</v>
      </c>
      <c r="V690" s="26">
        <v>5</v>
      </c>
      <c r="W690" s="29">
        <v>103.37</v>
      </c>
      <c r="X690" s="26">
        <v>89776</v>
      </c>
      <c r="Y690" s="35">
        <v>1.68</v>
      </c>
      <c r="Z690" s="1" t="s">
        <v>3011</v>
      </c>
      <c r="AA690" s="36">
        <v>5.9940000000000007</v>
      </c>
      <c r="AB690" s="54">
        <v>52.718700000000005</v>
      </c>
      <c r="AC690" s="54">
        <v>10.13026</v>
      </c>
      <c r="AD690" s="36">
        <v>-427.2912</v>
      </c>
    </row>
    <row r="691" spans="1:30" s="37" customFormat="1" ht="15.75" customHeight="1" x14ac:dyDescent="0.2">
      <c r="A691" s="26">
        <v>2718</v>
      </c>
      <c r="B691" s="27" t="s">
        <v>1450</v>
      </c>
      <c r="C691" s="27" t="s">
        <v>26</v>
      </c>
      <c r="D691" s="28">
        <v>0.1</v>
      </c>
      <c r="E691" s="29">
        <v>6.74</v>
      </c>
      <c r="F691" s="29">
        <v>1.72</v>
      </c>
      <c r="G691" s="30" t="s">
        <v>39</v>
      </c>
      <c r="H691" s="27" t="s">
        <v>40</v>
      </c>
      <c r="I691" s="27" t="s">
        <v>49</v>
      </c>
      <c r="J691" s="27" t="s">
        <v>88</v>
      </c>
      <c r="K691" s="27" t="s">
        <v>51</v>
      </c>
      <c r="L691" s="31" t="s">
        <v>1451</v>
      </c>
      <c r="M691" s="32">
        <v>0.35</v>
      </c>
      <c r="N691" s="27" t="s">
        <v>33</v>
      </c>
      <c r="O691" s="27" t="s">
        <v>53</v>
      </c>
      <c r="P691" s="27" t="s">
        <v>103</v>
      </c>
      <c r="Q691" s="27" t="s">
        <v>444</v>
      </c>
      <c r="R691" s="33">
        <v>60438</v>
      </c>
      <c r="S691" s="34">
        <v>42064</v>
      </c>
      <c r="T691" s="34">
        <v>42066</v>
      </c>
      <c r="U691" s="29">
        <v>65.41</v>
      </c>
      <c r="V691" s="26">
        <v>15</v>
      </c>
      <c r="W691" s="29">
        <v>98.17</v>
      </c>
      <c r="X691" s="26">
        <v>89394</v>
      </c>
      <c r="Y691" s="35">
        <v>22.150000000000002</v>
      </c>
      <c r="Z691" s="1" t="s">
        <v>3012</v>
      </c>
      <c r="AA691" s="36">
        <v>10.110000000000001</v>
      </c>
      <c r="AB691" s="54">
        <v>63.810500000000005</v>
      </c>
      <c r="AC691" s="54">
        <v>2.2906333333333335</v>
      </c>
      <c r="AD691" s="36">
        <v>20.930000000000007</v>
      </c>
    </row>
    <row r="692" spans="1:30" s="37" customFormat="1" ht="15.75" customHeight="1" x14ac:dyDescent="0.2">
      <c r="A692" s="26">
        <v>1279</v>
      </c>
      <c r="B692" s="27" t="s">
        <v>1447</v>
      </c>
      <c r="C692" s="27" t="s">
        <v>26</v>
      </c>
      <c r="D692" s="28">
        <v>7.0000000000000007E-2</v>
      </c>
      <c r="E692" s="29">
        <v>40.98</v>
      </c>
      <c r="F692" s="29">
        <v>7.47</v>
      </c>
      <c r="G692" s="30" t="s">
        <v>39</v>
      </c>
      <c r="H692" s="27" t="s">
        <v>94</v>
      </c>
      <c r="I692" s="27" t="s">
        <v>49</v>
      </c>
      <c r="J692" s="27" t="s">
        <v>72</v>
      </c>
      <c r="K692" s="27" t="s">
        <v>73</v>
      </c>
      <c r="L692" s="31" t="s">
        <v>1379</v>
      </c>
      <c r="M692" s="32">
        <v>0.37</v>
      </c>
      <c r="N692" s="27" t="s">
        <v>33</v>
      </c>
      <c r="O692" s="27" t="s">
        <v>53</v>
      </c>
      <c r="P692" s="27" t="s">
        <v>54</v>
      </c>
      <c r="Q692" s="27" t="s">
        <v>1448</v>
      </c>
      <c r="R692" s="33">
        <v>46324</v>
      </c>
      <c r="S692" s="34">
        <v>42064</v>
      </c>
      <c r="T692" s="34">
        <v>42065</v>
      </c>
      <c r="U692" s="29">
        <v>54.901499999999999</v>
      </c>
      <c r="V692" s="26">
        <v>2</v>
      </c>
      <c r="W692" s="29">
        <v>81.900000000000006</v>
      </c>
      <c r="X692" s="26">
        <v>90114</v>
      </c>
      <c r="Y692" s="35">
        <v>90.88</v>
      </c>
      <c r="Z692" s="1" t="s">
        <v>3012</v>
      </c>
      <c r="AA692" s="36">
        <v>5.7372000000000005</v>
      </c>
      <c r="AB692" s="54">
        <v>51.597000000000001</v>
      </c>
      <c r="AC692" s="54">
        <v>15.1515</v>
      </c>
      <c r="AD692" s="36">
        <v>13.791300000000007</v>
      </c>
    </row>
    <row r="693" spans="1:30" s="37" customFormat="1" ht="15.75" customHeight="1" x14ac:dyDescent="0.2">
      <c r="A693" s="26">
        <v>1764</v>
      </c>
      <c r="B693" s="27" t="s">
        <v>711</v>
      </c>
      <c r="C693" s="27" t="s">
        <v>38</v>
      </c>
      <c r="D693" s="28">
        <v>0.08</v>
      </c>
      <c r="E693" s="29">
        <v>1.76</v>
      </c>
      <c r="F693" s="29">
        <v>4.8600000000000003</v>
      </c>
      <c r="G693" s="30" t="s">
        <v>39</v>
      </c>
      <c r="H693" s="27" t="s">
        <v>40</v>
      </c>
      <c r="I693" s="27" t="s">
        <v>29</v>
      </c>
      <c r="J693" s="27" t="s">
        <v>126</v>
      </c>
      <c r="K693" s="27" t="s">
        <v>73</v>
      </c>
      <c r="L693" s="31" t="s">
        <v>606</v>
      </c>
      <c r="M693" s="32">
        <v>0.41</v>
      </c>
      <c r="N693" s="27" t="s">
        <v>33</v>
      </c>
      <c r="O693" s="27" t="s">
        <v>34</v>
      </c>
      <c r="P693" s="27" t="s">
        <v>123</v>
      </c>
      <c r="Q693" s="27" t="s">
        <v>713</v>
      </c>
      <c r="R693" s="33">
        <v>34698</v>
      </c>
      <c r="S693" s="34">
        <v>42064</v>
      </c>
      <c r="T693" s="34">
        <v>42065</v>
      </c>
      <c r="U693" s="29">
        <v>235.65600000000001</v>
      </c>
      <c r="V693" s="26">
        <v>23</v>
      </c>
      <c r="W693" s="29">
        <v>40.22</v>
      </c>
      <c r="X693" s="26">
        <v>89776</v>
      </c>
      <c r="Y693" s="35">
        <v>3499.93</v>
      </c>
      <c r="Z693" s="1" t="s">
        <v>3011</v>
      </c>
      <c r="AA693" s="36">
        <v>3.2384000000000004</v>
      </c>
      <c r="AB693" s="54">
        <v>23.729800000000001</v>
      </c>
      <c r="AC693" s="54">
        <v>0.71696521739130425</v>
      </c>
      <c r="AD693" s="36">
        <v>-203.53440000000003</v>
      </c>
    </row>
    <row r="694" spans="1:30" s="37" customFormat="1" ht="15.75" customHeight="1" x14ac:dyDescent="0.2">
      <c r="A694" s="26">
        <v>1882</v>
      </c>
      <c r="B694" s="27" t="s">
        <v>1463</v>
      </c>
      <c r="C694" s="27" t="s">
        <v>3094</v>
      </c>
      <c r="D694" s="28">
        <v>0.09</v>
      </c>
      <c r="E694" s="29">
        <v>5.78</v>
      </c>
      <c r="F694" s="29">
        <v>5.67</v>
      </c>
      <c r="G694" s="30" t="s">
        <v>39</v>
      </c>
      <c r="H694" s="27" t="s">
        <v>71</v>
      </c>
      <c r="I694" s="27" t="s">
        <v>49</v>
      </c>
      <c r="J694" s="27" t="s">
        <v>88</v>
      </c>
      <c r="K694" s="27" t="s">
        <v>73</v>
      </c>
      <c r="L694" s="31" t="s">
        <v>615</v>
      </c>
      <c r="M694" s="32">
        <v>0.36</v>
      </c>
      <c r="N694" s="27" t="s">
        <v>33</v>
      </c>
      <c r="O694" s="27" t="s">
        <v>111</v>
      </c>
      <c r="P694" s="27" t="s">
        <v>397</v>
      </c>
      <c r="Q694" s="27" t="s">
        <v>1464</v>
      </c>
      <c r="R694" s="33">
        <v>7036</v>
      </c>
      <c r="S694" s="34">
        <v>42064</v>
      </c>
      <c r="T694" s="34">
        <v>42066</v>
      </c>
      <c r="U694" s="29">
        <v>-7.96</v>
      </c>
      <c r="V694" s="26">
        <v>1</v>
      </c>
      <c r="W694" s="29">
        <v>11.35</v>
      </c>
      <c r="X694" s="26">
        <v>87378</v>
      </c>
      <c r="Y694" s="35">
        <v>5.69</v>
      </c>
      <c r="Z694" s="1" t="s">
        <v>3014</v>
      </c>
      <c r="AA694" s="36">
        <v>0.5202</v>
      </c>
      <c r="AB694" s="54">
        <v>7.2640000000000002</v>
      </c>
      <c r="AC694" s="54">
        <v>4.0859999999999994</v>
      </c>
      <c r="AD694" s="36">
        <v>13.1198</v>
      </c>
    </row>
    <row r="695" spans="1:30" s="37" customFormat="1" ht="15.75" customHeight="1" x14ac:dyDescent="0.2">
      <c r="A695" s="26">
        <v>1014</v>
      </c>
      <c r="B695" s="27" t="s">
        <v>1444</v>
      </c>
      <c r="C695" s="27" t="s">
        <v>26</v>
      </c>
      <c r="D695" s="28">
        <v>0</v>
      </c>
      <c r="E695" s="29">
        <v>2.08</v>
      </c>
      <c r="F695" s="29">
        <v>5.33</v>
      </c>
      <c r="G695" s="30" t="s">
        <v>39</v>
      </c>
      <c r="H695" s="27" t="s">
        <v>71</v>
      </c>
      <c r="I695" s="27" t="s">
        <v>29</v>
      </c>
      <c r="J695" s="27" t="s">
        <v>126</v>
      </c>
      <c r="K695" s="27" t="s">
        <v>73</v>
      </c>
      <c r="L695" s="31" t="s">
        <v>459</v>
      </c>
      <c r="M695" s="32">
        <v>0.43</v>
      </c>
      <c r="N695" s="27" t="s">
        <v>33</v>
      </c>
      <c r="O695" s="27" t="s">
        <v>34</v>
      </c>
      <c r="P695" s="27" t="s">
        <v>45</v>
      </c>
      <c r="Q695" s="27" t="s">
        <v>1445</v>
      </c>
      <c r="R695" s="33">
        <v>72022</v>
      </c>
      <c r="S695" s="34">
        <v>42064</v>
      </c>
      <c r="T695" s="34">
        <v>42066</v>
      </c>
      <c r="U695" s="29">
        <v>-29.54</v>
      </c>
      <c r="V695" s="26">
        <v>3</v>
      </c>
      <c r="W695" s="29">
        <v>7.47</v>
      </c>
      <c r="X695" s="26">
        <v>88387</v>
      </c>
      <c r="Y695" s="35">
        <v>535.59</v>
      </c>
      <c r="Z695" s="1" t="s">
        <v>3011</v>
      </c>
      <c r="AA695" s="36">
        <v>0</v>
      </c>
      <c r="AB695" s="54">
        <v>4.2579000000000002</v>
      </c>
      <c r="AC695" s="54">
        <v>1.0707</v>
      </c>
      <c r="AD695" s="36">
        <v>31.68</v>
      </c>
    </row>
    <row r="696" spans="1:30" s="37" customFormat="1" ht="15.75" customHeight="1" x14ac:dyDescent="0.2">
      <c r="A696" s="26">
        <v>3067</v>
      </c>
      <c r="B696" s="27" t="s">
        <v>1477</v>
      </c>
      <c r="C696" s="27" t="s">
        <v>3094</v>
      </c>
      <c r="D696" s="28">
        <v>0.06</v>
      </c>
      <c r="E696" s="29">
        <v>355.98</v>
      </c>
      <c r="F696" s="29">
        <v>58.92</v>
      </c>
      <c r="G696" s="30" t="s">
        <v>27</v>
      </c>
      <c r="H696" s="27" t="s">
        <v>40</v>
      </c>
      <c r="I696" s="27" t="s">
        <v>29</v>
      </c>
      <c r="J696" s="27" t="s">
        <v>109</v>
      </c>
      <c r="K696" s="27" t="s">
        <v>58</v>
      </c>
      <c r="L696" s="31" t="s">
        <v>694</v>
      </c>
      <c r="M696" s="32">
        <v>0.64</v>
      </c>
      <c r="N696" s="27" t="s">
        <v>33</v>
      </c>
      <c r="O696" s="27" t="s">
        <v>111</v>
      </c>
      <c r="P696" s="27" t="s">
        <v>317</v>
      </c>
      <c r="Q696" s="27" t="s">
        <v>1478</v>
      </c>
      <c r="R696" s="33">
        <v>44515</v>
      </c>
      <c r="S696" s="34">
        <v>42065</v>
      </c>
      <c r="T696" s="34">
        <v>42066</v>
      </c>
      <c r="U696" s="29">
        <v>1660.92</v>
      </c>
      <c r="V696" s="26">
        <v>14</v>
      </c>
      <c r="W696" s="29">
        <v>5086.08</v>
      </c>
      <c r="X696" s="26">
        <v>91376</v>
      </c>
      <c r="Y696" s="35">
        <v>170.89999999999998</v>
      </c>
      <c r="Z696" s="1" t="s">
        <v>3014</v>
      </c>
      <c r="AA696" s="36">
        <v>299.02319999999997</v>
      </c>
      <c r="AB696" s="54">
        <v>1830.9887999999999</v>
      </c>
      <c r="AC696" s="54">
        <v>232.5065142857143</v>
      </c>
      <c r="AD696" s="36">
        <v>3067.2167999999997</v>
      </c>
    </row>
    <row r="697" spans="1:30" s="37" customFormat="1" ht="15.75" customHeight="1" x14ac:dyDescent="0.2">
      <c r="A697" s="26">
        <v>64</v>
      </c>
      <c r="B697" s="27" t="s">
        <v>1471</v>
      </c>
      <c r="C697" s="27" t="s">
        <v>3094</v>
      </c>
      <c r="D697" s="28">
        <v>0.02</v>
      </c>
      <c r="E697" s="29">
        <v>175.99</v>
      </c>
      <c r="F697" s="29">
        <v>4.99</v>
      </c>
      <c r="G697" s="30" t="s">
        <v>87</v>
      </c>
      <c r="H697" s="27" t="s">
        <v>3095</v>
      </c>
      <c r="I697" s="27" t="s">
        <v>41</v>
      </c>
      <c r="J697" s="27" t="s">
        <v>135</v>
      </c>
      <c r="K697" s="27" t="s">
        <v>73</v>
      </c>
      <c r="L697" s="31" t="s">
        <v>1249</v>
      </c>
      <c r="M697" s="32">
        <v>0.59</v>
      </c>
      <c r="N697" s="27" t="s">
        <v>33</v>
      </c>
      <c r="O697" s="27" t="s">
        <v>34</v>
      </c>
      <c r="P697" s="27" t="s">
        <v>242</v>
      </c>
      <c r="Q697" s="27" t="s">
        <v>1473</v>
      </c>
      <c r="R697" s="33">
        <v>24153</v>
      </c>
      <c r="S697" s="34">
        <v>42065</v>
      </c>
      <c r="T697" s="34">
        <v>42065</v>
      </c>
      <c r="U697" s="29">
        <v>101.49</v>
      </c>
      <c r="V697" s="26">
        <v>4</v>
      </c>
      <c r="W697" s="29">
        <v>589.79999999999995</v>
      </c>
      <c r="X697" s="26">
        <v>87406</v>
      </c>
      <c r="Y697" s="35">
        <v>3.69</v>
      </c>
      <c r="Z697" s="1" t="s">
        <v>3011</v>
      </c>
      <c r="AA697" s="36">
        <v>14.0792</v>
      </c>
      <c r="AB697" s="54">
        <v>241.81800000000001</v>
      </c>
      <c r="AC697" s="54">
        <v>86.995499999999993</v>
      </c>
      <c r="AD697" s="36">
        <v>469.24079999999998</v>
      </c>
    </row>
    <row r="698" spans="1:30" s="37" customFormat="1" ht="15.75" customHeight="1" x14ac:dyDescent="0.2">
      <c r="A698" s="26">
        <v>2878</v>
      </c>
      <c r="B698" s="27" t="s">
        <v>1476</v>
      </c>
      <c r="C698" s="27" t="s">
        <v>3094</v>
      </c>
      <c r="D698" s="28">
        <v>0</v>
      </c>
      <c r="E698" s="29">
        <v>8.33</v>
      </c>
      <c r="F698" s="29">
        <v>1.99</v>
      </c>
      <c r="G698" s="30" t="s">
        <v>87</v>
      </c>
      <c r="H698" s="27" t="s">
        <v>40</v>
      </c>
      <c r="I698" s="27" t="s">
        <v>41</v>
      </c>
      <c r="J698" s="27" t="s">
        <v>42</v>
      </c>
      <c r="K698" s="27" t="s">
        <v>43</v>
      </c>
      <c r="L698" s="31" t="s">
        <v>1174</v>
      </c>
      <c r="M698" s="32">
        <v>0.52</v>
      </c>
      <c r="N698" s="27" t="s">
        <v>33</v>
      </c>
      <c r="O698" s="27" t="s">
        <v>60</v>
      </c>
      <c r="P698" s="27" t="s">
        <v>67</v>
      </c>
      <c r="Q698" s="27" t="s">
        <v>142</v>
      </c>
      <c r="R698" s="33">
        <v>98107</v>
      </c>
      <c r="S698" s="34">
        <v>42065</v>
      </c>
      <c r="T698" s="34">
        <v>42067</v>
      </c>
      <c r="U698" s="29">
        <v>82.31</v>
      </c>
      <c r="V698" s="26">
        <v>47</v>
      </c>
      <c r="W698" s="29">
        <v>421.08</v>
      </c>
      <c r="X698" s="26">
        <v>54369</v>
      </c>
      <c r="Y698" s="35">
        <v>175.97</v>
      </c>
      <c r="Z698" s="1" t="s">
        <v>3013</v>
      </c>
      <c r="AA698" s="36">
        <v>0</v>
      </c>
      <c r="AB698" s="54">
        <v>202.11839999999998</v>
      </c>
      <c r="AC698" s="54">
        <v>4.6587574468085107</v>
      </c>
      <c r="AD698" s="36">
        <v>336.78</v>
      </c>
    </row>
    <row r="699" spans="1:30" s="37" customFormat="1" ht="15.75" customHeight="1" x14ac:dyDescent="0.2">
      <c r="A699" s="26">
        <v>3187</v>
      </c>
      <c r="B699" s="27" t="s">
        <v>1468</v>
      </c>
      <c r="C699" s="27" t="s">
        <v>38</v>
      </c>
      <c r="D699" s="28">
        <v>0.08</v>
      </c>
      <c r="E699" s="29">
        <v>170.98</v>
      </c>
      <c r="F699" s="29">
        <v>35.89</v>
      </c>
      <c r="G699" s="30" t="s">
        <v>27</v>
      </c>
      <c r="H699" s="27" t="s">
        <v>3095</v>
      </c>
      <c r="I699" s="27" t="s">
        <v>29</v>
      </c>
      <c r="J699" s="27" t="s">
        <v>117</v>
      </c>
      <c r="K699" s="27" t="s">
        <v>31</v>
      </c>
      <c r="L699" s="31" t="s">
        <v>1469</v>
      </c>
      <c r="M699" s="32">
        <v>0.66</v>
      </c>
      <c r="N699" s="27" t="s">
        <v>33</v>
      </c>
      <c r="O699" s="27" t="s">
        <v>34</v>
      </c>
      <c r="P699" s="27" t="s">
        <v>123</v>
      </c>
      <c r="Q699" s="27" t="s">
        <v>1470</v>
      </c>
      <c r="R699" s="33">
        <v>33569</v>
      </c>
      <c r="S699" s="34">
        <v>42065</v>
      </c>
      <c r="T699" s="34">
        <v>42067</v>
      </c>
      <c r="U699" s="29">
        <v>-119.812</v>
      </c>
      <c r="V699" s="26">
        <v>1</v>
      </c>
      <c r="W699" s="29">
        <v>199.48</v>
      </c>
      <c r="X699" s="26">
        <v>89025</v>
      </c>
      <c r="Y699" s="35">
        <v>8.33</v>
      </c>
      <c r="Z699" s="1" t="s">
        <v>3011</v>
      </c>
      <c r="AA699" s="36">
        <v>13.6784</v>
      </c>
      <c r="AB699" s="54">
        <v>67.823199999999986</v>
      </c>
      <c r="AC699" s="54">
        <v>131.6568</v>
      </c>
      <c r="AD699" s="36">
        <v>269.72359999999998</v>
      </c>
    </row>
    <row r="700" spans="1:30" s="37" customFormat="1" ht="15.75" customHeight="1" x14ac:dyDescent="0.2">
      <c r="A700" s="26">
        <v>2877</v>
      </c>
      <c r="B700" s="27" t="s">
        <v>1474</v>
      </c>
      <c r="C700" s="27" t="s">
        <v>3094</v>
      </c>
      <c r="D700" s="28">
        <v>0</v>
      </c>
      <c r="E700" s="29">
        <v>8.33</v>
      </c>
      <c r="F700" s="29">
        <v>1.99</v>
      </c>
      <c r="G700" s="30" t="s">
        <v>87</v>
      </c>
      <c r="H700" s="27" t="s">
        <v>40</v>
      </c>
      <c r="I700" s="27" t="s">
        <v>41</v>
      </c>
      <c r="J700" s="27" t="s">
        <v>42</v>
      </c>
      <c r="K700" s="27" t="s">
        <v>43</v>
      </c>
      <c r="L700" s="31" t="s">
        <v>1174</v>
      </c>
      <c r="M700" s="32">
        <v>0.52</v>
      </c>
      <c r="N700" s="27" t="s">
        <v>33</v>
      </c>
      <c r="O700" s="27" t="s">
        <v>111</v>
      </c>
      <c r="P700" s="27" t="s">
        <v>317</v>
      </c>
      <c r="Q700" s="27" t="s">
        <v>1475</v>
      </c>
      <c r="R700" s="33">
        <v>44070</v>
      </c>
      <c r="S700" s="34">
        <v>42065</v>
      </c>
      <c r="T700" s="34">
        <v>42067</v>
      </c>
      <c r="U700" s="29">
        <v>74.181899999999999</v>
      </c>
      <c r="V700" s="26">
        <v>12</v>
      </c>
      <c r="W700" s="29">
        <v>107.51</v>
      </c>
      <c r="X700" s="26">
        <v>91492</v>
      </c>
      <c r="Y700" s="35">
        <v>8.33</v>
      </c>
      <c r="Z700" s="1" t="s">
        <v>3014</v>
      </c>
      <c r="AA700" s="36">
        <v>0</v>
      </c>
      <c r="AB700" s="54">
        <v>51.604799999999997</v>
      </c>
      <c r="AC700" s="54">
        <v>4.6587666666666667</v>
      </c>
      <c r="AD700" s="36">
        <v>31.338100000000011</v>
      </c>
    </row>
    <row r="701" spans="1:30" s="37" customFormat="1" ht="15.75" customHeight="1" x14ac:dyDescent="0.2">
      <c r="A701" s="26">
        <v>64</v>
      </c>
      <c r="B701" s="27" t="s">
        <v>1471</v>
      </c>
      <c r="C701" s="27" t="s">
        <v>3094</v>
      </c>
      <c r="D701" s="28">
        <v>0</v>
      </c>
      <c r="E701" s="29">
        <v>3.69</v>
      </c>
      <c r="F701" s="29">
        <v>0.5</v>
      </c>
      <c r="G701" s="30" t="s">
        <v>39</v>
      </c>
      <c r="H701" s="27" t="s">
        <v>3095</v>
      </c>
      <c r="I701" s="27" t="s">
        <v>49</v>
      </c>
      <c r="J701" s="27" t="s">
        <v>152</v>
      </c>
      <c r="K701" s="27" t="s">
        <v>73</v>
      </c>
      <c r="L701" s="31" t="s">
        <v>1472</v>
      </c>
      <c r="M701" s="32">
        <v>0.38</v>
      </c>
      <c r="N701" s="27" t="s">
        <v>33</v>
      </c>
      <c r="O701" s="27" t="s">
        <v>34</v>
      </c>
      <c r="P701" s="27" t="s">
        <v>242</v>
      </c>
      <c r="Q701" s="27" t="s">
        <v>1473</v>
      </c>
      <c r="R701" s="33">
        <v>24153</v>
      </c>
      <c r="S701" s="34">
        <v>42065</v>
      </c>
      <c r="T701" s="34">
        <v>42067</v>
      </c>
      <c r="U701" s="29">
        <v>-37.5291</v>
      </c>
      <c r="V701" s="26">
        <v>1</v>
      </c>
      <c r="W701" s="29">
        <v>4</v>
      </c>
      <c r="X701" s="26">
        <v>87406</v>
      </c>
      <c r="Y701" s="35">
        <v>355.92</v>
      </c>
      <c r="Z701" s="1" t="s">
        <v>3011</v>
      </c>
      <c r="AA701" s="36">
        <v>0</v>
      </c>
      <c r="AB701" s="54">
        <v>2.48</v>
      </c>
      <c r="AC701" s="54">
        <v>1.52</v>
      </c>
      <c r="AD701" s="36">
        <v>41.0291</v>
      </c>
    </row>
    <row r="702" spans="1:30" s="37" customFormat="1" ht="15.75" customHeight="1" x14ac:dyDescent="0.2">
      <c r="A702" s="26">
        <v>428</v>
      </c>
      <c r="B702" s="27" t="s">
        <v>511</v>
      </c>
      <c r="C702" s="27" t="s">
        <v>3094</v>
      </c>
      <c r="D702" s="28">
        <v>0.05</v>
      </c>
      <c r="E702" s="29">
        <v>10.98</v>
      </c>
      <c r="F702" s="29">
        <v>4.8</v>
      </c>
      <c r="G702" s="30" t="s">
        <v>39</v>
      </c>
      <c r="H702" s="27" t="s">
        <v>94</v>
      </c>
      <c r="I702" s="27" t="s">
        <v>49</v>
      </c>
      <c r="J702" s="27" t="s">
        <v>345</v>
      </c>
      <c r="K702" s="27" t="s">
        <v>73</v>
      </c>
      <c r="L702" s="31" t="s">
        <v>1481</v>
      </c>
      <c r="M702" s="32">
        <v>0.36</v>
      </c>
      <c r="N702" s="27" t="s">
        <v>33</v>
      </c>
      <c r="O702" s="27" t="s">
        <v>60</v>
      </c>
      <c r="P702" s="27" t="s">
        <v>296</v>
      </c>
      <c r="Q702" s="27" t="s">
        <v>513</v>
      </c>
      <c r="R702" s="33">
        <v>89701</v>
      </c>
      <c r="S702" s="34">
        <v>42066</v>
      </c>
      <c r="T702" s="34">
        <v>42068</v>
      </c>
      <c r="U702" s="29">
        <v>90.62</v>
      </c>
      <c r="V702" s="26">
        <v>22</v>
      </c>
      <c r="W702" s="29">
        <v>243.11</v>
      </c>
      <c r="X702" s="26">
        <v>88480</v>
      </c>
      <c r="Y702" s="35">
        <v>2</v>
      </c>
      <c r="Z702" s="1" t="s">
        <v>3013</v>
      </c>
      <c r="AA702" s="36">
        <v>12.078000000000001</v>
      </c>
      <c r="AB702" s="54">
        <v>155.59040000000002</v>
      </c>
      <c r="AC702" s="54">
        <v>3.9781636363636363</v>
      </c>
      <c r="AD702" s="36">
        <v>135.61200000000002</v>
      </c>
    </row>
    <row r="703" spans="1:30" s="37" customFormat="1" ht="15.75" customHeight="1" x14ac:dyDescent="0.2">
      <c r="A703" s="26">
        <v>1686</v>
      </c>
      <c r="B703" s="27" t="s">
        <v>1479</v>
      </c>
      <c r="C703" s="27" t="s">
        <v>48</v>
      </c>
      <c r="D703" s="28">
        <v>0.08</v>
      </c>
      <c r="E703" s="29">
        <v>2.08</v>
      </c>
      <c r="F703" s="29">
        <v>5.33</v>
      </c>
      <c r="G703" s="30" t="s">
        <v>39</v>
      </c>
      <c r="H703" s="27" t="s">
        <v>94</v>
      </c>
      <c r="I703" s="27" t="s">
        <v>29</v>
      </c>
      <c r="J703" s="27" t="s">
        <v>126</v>
      </c>
      <c r="K703" s="27" t="s">
        <v>73</v>
      </c>
      <c r="L703" s="31" t="s">
        <v>459</v>
      </c>
      <c r="M703" s="32">
        <v>0.43</v>
      </c>
      <c r="N703" s="27" t="s">
        <v>33</v>
      </c>
      <c r="O703" s="27" t="s">
        <v>53</v>
      </c>
      <c r="P703" s="27" t="s">
        <v>103</v>
      </c>
      <c r="Q703" s="27" t="s">
        <v>1480</v>
      </c>
      <c r="R703" s="33">
        <v>60123</v>
      </c>
      <c r="S703" s="34">
        <v>42066</v>
      </c>
      <c r="T703" s="34">
        <v>42073</v>
      </c>
      <c r="U703" s="29">
        <v>-129.01</v>
      </c>
      <c r="V703" s="26">
        <v>9</v>
      </c>
      <c r="W703" s="29">
        <v>19.670000000000002</v>
      </c>
      <c r="X703" s="26">
        <v>86973</v>
      </c>
      <c r="Y703" s="35">
        <v>10.93</v>
      </c>
      <c r="Z703" s="1" t="s">
        <v>3012</v>
      </c>
      <c r="AA703" s="36">
        <v>1.4976000000000003</v>
      </c>
      <c r="AB703" s="54">
        <v>11.211900000000002</v>
      </c>
      <c r="AC703" s="54">
        <v>0.9397888888888889</v>
      </c>
      <c r="AD703" s="36">
        <v>141.85239999999999</v>
      </c>
    </row>
    <row r="704" spans="1:30" s="37" customFormat="1" ht="15.75" customHeight="1" x14ac:dyDescent="0.2">
      <c r="A704" s="26">
        <v>679</v>
      </c>
      <c r="B704" s="27" t="s">
        <v>1488</v>
      </c>
      <c r="C704" s="27" t="s">
        <v>116</v>
      </c>
      <c r="D704" s="28">
        <v>0.02</v>
      </c>
      <c r="E704" s="29">
        <v>367.99</v>
      </c>
      <c r="F704" s="29">
        <v>19.989999999999998</v>
      </c>
      <c r="G704" s="30" t="s">
        <v>39</v>
      </c>
      <c r="H704" s="27" t="s">
        <v>94</v>
      </c>
      <c r="I704" s="27" t="s">
        <v>49</v>
      </c>
      <c r="J704" s="27" t="s">
        <v>72</v>
      </c>
      <c r="K704" s="27" t="s">
        <v>73</v>
      </c>
      <c r="L704" s="31" t="s">
        <v>1491</v>
      </c>
      <c r="M704" s="32">
        <v>0.4</v>
      </c>
      <c r="N704" s="27" t="s">
        <v>33</v>
      </c>
      <c r="O704" s="27" t="s">
        <v>60</v>
      </c>
      <c r="P704" s="27" t="s">
        <v>67</v>
      </c>
      <c r="Q704" s="27" t="s">
        <v>1490</v>
      </c>
      <c r="R704" s="33">
        <v>98387</v>
      </c>
      <c r="S704" s="34">
        <v>42067</v>
      </c>
      <c r="T704" s="34">
        <v>42068</v>
      </c>
      <c r="U704" s="29">
        <v>4568.6072999999997</v>
      </c>
      <c r="V704" s="26">
        <v>17</v>
      </c>
      <c r="W704" s="29">
        <v>6621.17</v>
      </c>
      <c r="X704" s="26">
        <v>88890</v>
      </c>
      <c r="Y704" s="35">
        <v>280.96000000000004</v>
      </c>
      <c r="Z704" s="1" t="s">
        <v>3013</v>
      </c>
      <c r="AA704" s="36">
        <v>125.11660000000001</v>
      </c>
      <c r="AB704" s="54">
        <v>3972.7019999999998</v>
      </c>
      <c r="AC704" s="54">
        <v>155.79223529411766</v>
      </c>
      <c r="AD704" s="36">
        <v>1907.4561000000003</v>
      </c>
    </row>
    <row r="705" spans="1:30" s="37" customFormat="1" ht="15.75" customHeight="1" x14ac:dyDescent="0.2">
      <c r="A705" s="26">
        <v>91</v>
      </c>
      <c r="B705" s="27" t="s">
        <v>1246</v>
      </c>
      <c r="C705" s="27" t="s">
        <v>116</v>
      </c>
      <c r="D705" s="28">
        <v>0.06</v>
      </c>
      <c r="E705" s="29">
        <v>175.99</v>
      </c>
      <c r="F705" s="29">
        <v>8.99</v>
      </c>
      <c r="G705" s="30" t="s">
        <v>39</v>
      </c>
      <c r="H705" s="27" t="s">
        <v>94</v>
      </c>
      <c r="I705" s="27" t="s">
        <v>41</v>
      </c>
      <c r="J705" s="27" t="s">
        <v>135</v>
      </c>
      <c r="K705" s="27" t="s">
        <v>73</v>
      </c>
      <c r="L705" s="31" t="s">
        <v>1179</v>
      </c>
      <c r="M705" s="32">
        <v>0.56999999999999995</v>
      </c>
      <c r="N705" s="27" t="s">
        <v>33</v>
      </c>
      <c r="O705" s="27" t="s">
        <v>60</v>
      </c>
      <c r="P705" s="27" t="s">
        <v>90</v>
      </c>
      <c r="Q705" s="27" t="s">
        <v>1247</v>
      </c>
      <c r="R705" s="33">
        <v>94591</v>
      </c>
      <c r="S705" s="34">
        <v>42067</v>
      </c>
      <c r="T705" s="34">
        <v>42069</v>
      </c>
      <c r="U705" s="29">
        <v>2031.5070000000001</v>
      </c>
      <c r="V705" s="26">
        <v>23</v>
      </c>
      <c r="W705" s="29">
        <v>3363.53</v>
      </c>
      <c r="X705" s="26">
        <v>87177</v>
      </c>
      <c r="Y705" s="35">
        <v>5.32</v>
      </c>
      <c r="Z705" s="1" t="s">
        <v>3013</v>
      </c>
      <c r="AA705" s="36">
        <v>242.86619999999999</v>
      </c>
      <c r="AB705" s="54">
        <v>1446.3179000000002</v>
      </c>
      <c r="AC705" s="54">
        <v>83.357047826086955</v>
      </c>
      <c r="AD705" s="36">
        <v>1080.1668</v>
      </c>
    </row>
    <row r="706" spans="1:30" s="37" customFormat="1" ht="15.75" customHeight="1" x14ac:dyDescent="0.2">
      <c r="A706" s="26">
        <v>3133</v>
      </c>
      <c r="B706" s="27" t="s">
        <v>561</v>
      </c>
      <c r="C706" s="27" t="s">
        <v>26</v>
      </c>
      <c r="D706" s="28">
        <v>0.04</v>
      </c>
      <c r="E706" s="29">
        <v>155.99</v>
      </c>
      <c r="F706" s="29">
        <v>8.08</v>
      </c>
      <c r="G706" s="30" t="s">
        <v>39</v>
      </c>
      <c r="H706" s="27" t="s">
        <v>94</v>
      </c>
      <c r="I706" s="27" t="s">
        <v>41</v>
      </c>
      <c r="J706" s="27" t="s">
        <v>135</v>
      </c>
      <c r="K706" s="27" t="s">
        <v>73</v>
      </c>
      <c r="L706" s="31" t="s">
        <v>1487</v>
      </c>
      <c r="M706" s="32">
        <v>0.6</v>
      </c>
      <c r="N706" s="27" t="s">
        <v>33</v>
      </c>
      <c r="O706" s="27" t="s">
        <v>53</v>
      </c>
      <c r="P706" s="27" t="s">
        <v>103</v>
      </c>
      <c r="Q706" s="27" t="s">
        <v>562</v>
      </c>
      <c r="R706" s="33">
        <v>60540</v>
      </c>
      <c r="S706" s="34">
        <v>42067</v>
      </c>
      <c r="T706" s="34">
        <v>42068</v>
      </c>
      <c r="U706" s="29">
        <v>1374.9480000000001</v>
      </c>
      <c r="V706" s="26">
        <v>22</v>
      </c>
      <c r="W706" s="29">
        <v>2800.33</v>
      </c>
      <c r="X706" s="26">
        <v>86792</v>
      </c>
      <c r="Y706" s="35">
        <v>8.370000000000001</v>
      </c>
      <c r="Z706" s="1" t="s">
        <v>3012</v>
      </c>
      <c r="AA706" s="36">
        <v>137.27119999999999</v>
      </c>
      <c r="AB706" s="54">
        <v>1120.1320000000001</v>
      </c>
      <c r="AC706" s="54">
        <v>76.37263636363636</v>
      </c>
      <c r="AD706" s="36">
        <v>1280.0308</v>
      </c>
    </row>
    <row r="707" spans="1:30" s="37" customFormat="1" ht="15.75" customHeight="1" x14ac:dyDescent="0.2">
      <c r="A707" s="26">
        <v>568</v>
      </c>
      <c r="B707" s="27" t="s">
        <v>1482</v>
      </c>
      <c r="C707" s="27" t="s">
        <v>26</v>
      </c>
      <c r="D707" s="28">
        <v>0.02</v>
      </c>
      <c r="E707" s="29">
        <v>280.98</v>
      </c>
      <c r="F707" s="29">
        <v>57</v>
      </c>
      <c r="G707" s="30" t="s">
        <v>27</v>
      </c>
      <c r="H707" s="27" t="s">
        <v>40</v>
      </c>
      <c r="I707" s="27" t="s">
        <v>29</v>
      </c>
      <c r="J707" s="27" t="s">
        <v>109</v>
      </c>
      <c r="K707" s="27" t="s">
        <v>58</v>
      </c>
      <c r="L707" s="31" t="s">
        <v>862</v>
      </c>
      <c r="M707" s="32">
        <v>0.78</v>
      </c>
      <c r="N707" s="27" t="s">
        <v>33</v>
      </c>
      <c r="O707" s="27" t="s">
        <v>34</v>
      </c>
      <c r="P707" s="27" t="s">
        <v>35</v>
      </c>
      <c r="Q707" s="27" t="s">
        <v>1483</v>
      </c>
      <c r="R707" s="33">
        <v>39701</v>
      </c>
      <c r="S707" s="34">
        <v>42067</v>
      </c>
      <c r="T707" s="34">
        <v>42068</v>
      </c>
      <c r="U707" s="29">
        <v>1141.7940000000001</v>
      </c>
      <c r="V707" s="26">
        <v>4</v>
      </c>
      <c r="W707" s="29">
        <v>1128.74</v>
      </c>
      <c r="X707" s="26">
        <v>88879</v>
      </c>
      <c r="Y707" s="35">
        <v>14.77</v>
      </c>
      <c r="Z707" s="1" t="s">
        <v>3011</v>
      </c>
      <c r="AA707" s="36">
        <v>22.478400000000001</v>
      </c>
      <c r="AB707" s="54">
        <v>248.32279999999997</v>
      </c>
      <c r="AC707" s="54">
        <v>220.10430000000002</v>
      </c>
      <c r="AD707" s="36">
        <v>-92.532400000000052</v>
      </c>
    </row>
    <row r="708" spans="1:30" s="37" customFormat="1" ht="15.75" customHeight="1" x14ac:dyDescent="0.2">
      <c r="A708" s="26">
        <v>2358</v>
      </c>
      <c r="B708" s="27" t="s">
        <v>1166</v>
      </c>
      <c r="C708" s="27" t="s">
        <v>48</v>
      </c>
      <c r="D708" s="28">
        <v>0.1</v>
      </c>
      <c r="E708" s="29">
        <v>205.99</v>
      </c>
      <c r="F708" s="29">
        <v>8.99</v>
      </c>
      <c r="G708" s="30" t="s">
        <v>39</v>
      </c>
      <c r="H708" s="27" t="s">
        <v>94</v>
      </c>
      <c r="I708" s="27" t="s">
        <v>41</v>
      </c>
      <c r="J708" s="27" t="s">
        <v>135</v>
      </c>
      <c r="K708" s="27" t="s">
        <v>73</v>
      </c>
      <c r="L708" s="31" t="s">
        <v>663</v>
      </c>
      <c r="M708" s="32">
        <v>0.56000000000000005</v>
      </c>
      <c r="N708" s="27" t="s">
        <v>33</v>
      </c>
      <c r="O708" s="27" t="s">
        <v>34</v>
      </c>
      <c r="P708" s="27" t="s">
        <v>123</v>
      </c>
      <c r="Q708" s="27" t="s">
        <v>1096</v>
      </c>
      <c r="R708" s="33">
        <v>33311</v>
      </c>
      <c r="S708" s="34">
        <v>42067</v>
      </c>
      <c r="T708" s="34">
        <v>42071</v>
      </c>
      <c r="U708" s="29">
        <v>147</v>
      </c>
      <c r="V708" s="26">
        <v>2</v>
      </c>
      <c r="W708" s="29">
        <v>324.62</v>
      </c>
      <c r="X708" s="26">
        <v>88267</v>
      </c>
      <c r="Y708" s="35">
        <v>155.95000000000002</v>
      </c>
      <c r="Z708" s="1" t="s">
        <v>3011</v>
      </c>
      <c r="AA708" s="36">
        <v>41.198000000000008</v>
      </c>
      <c r="AB708" s="54">
        <v>142.83279999999999</v>
      </c>
      <c r="AC708" s="54">
        <v>90.893600000000006</v>
      </c>
      <c r="AD708" s="36">
        <v>127.43199999999999</v>
      </c>
    </row>
    <row r="709" spans="1:30" s="37" customFormat="1" ht="15.75" customHeight="1" x14ac:dyDescent="0.2">
      <c r="A709" s="26">
        <v>680</v>
      </c>
      <c r="B709" s="27" t="s">
        <v>1492</v>
      </c>
      <c r="C709" s="27" t="s">
        <v>116</v>
      </c>
      <c r="D709" s="28">
        <v>0.04</v>
      </c>
      <c r="E709" s="29">
        <v>95.99</v>
      </c>
      <c r="F709" s="29">
        <v>4.9000000000000004</v>
      </c>
      <c r="G709" s="30" t="s">
        <v>39</v>
      </c>
      <c r="H709" s="27" t="s">
        <v>94</v>
      </c>
      <c r="I709" s="27" t="s">
        <v>41</v>
      </c>
      <c r="J709" s="27" t="s">
        <v>135</v>
      </c>
      <c r="K709" s="27" t="s">
        <v>73</v>
      </c>
      <c r="L709" s="31" t="s">
        <v>768</v>
      </c>
      <c r="M709" s="32">
        <v>0.56000000000000005</v>
      </c>
      <c r="N709" s="27" t="s">
        <v>33</v>
      </c>
      <c r="O709" s="27" t="s">
        <v>60</v>
      </c>
      <c r="P709" s="27" t="s">
        <v>67</v>
      </c>
      <c r="Q709" s="27" t="s">
        <v>1493</v>
      </c>
      <c r="R709" s="33">
        <v>99207</v>
      </c>
      <c r="S709" s="34">
        <v>42067</v>
      </c>
      <c r="T709" s="34">
        <v>42069</v>
      </c>
      <c r="U709" s="29">
        <v>-258.22500000000002</v>
      </c>
      <c r="V709" s="26">
        <v>3</v>
      </c>
      <c r="W709" s="29">
        <v>253.78</v>
      </c>
      <c r="X709" s="26">
        <v>88890</v>
      </c>
      <c r="Y709" s="35">
        <v>10.08</v>
      </c>
      <c r="Z709" s="1" t="s">
        <v>3013</v>
      </c>
      <c r="AA709" s="36">
        <v>11.518799999999999</v>
      </c>
      <c r="AB709" s="54">
        <v>111.66319999999999</v>
      </c>
      <c r="AC709" s="54">
        <v>47.372266666666668</v>
      </c>
      <c r="AD709" s="36">
        <v>495.58620000000002</v>
      </c>
    </row>
    <row r="710" spans="1:30" s="37" customFormat="1" ht="15.75" customHeight="1" x14ac:dyDescent="0.2">
      <c r="A710" s="26">
        <v>3133</v>
      </c>
      <c r="B710" s="27" t="s">
        <v>561</v>
      </c>
      <c r="C710" s="27" t="s">
        <v>26</v>
      </c>
      <c r="D710" s="28">
        <v>0.21</v>
      </c>
      <c r="E710" s="29">
        <v>14.98</v>
      </c>
      <c r="F710" s="29">
        <v>8.99</v>
      </c>
      <c r="G710" s="30" t="s">
        <v>39</v>
      </c>
      <c r="H710" s="27" t="s">
        <v>94</v>
      </c>
      <c r="I710" s="27" t="s">
        <v>29</v>
      </c>
      <c r="J710" s="27" t="s">
        <v>126</v>
      </c>
      <c r="K710" s="27" t="s">
        <v>43</v>
      </c>
      <c r="L710" s="31" t="s">
        <v>1486</v>
      </c>
      <c r="M710" s="32">
        <v>0.39</v>
      </c>
      <c r="N710" s="27" t="s">
        <v>33</v>
      </c>
      <c r="O710" s="27" t="s">
        <v>53</v>
      </c>
      <c r="P710" s="27" t="s">
        <v>103</v>
      </c>
      <c r="Q710" s="27" t="s">
        <v>562</v>
      </c>
      <c r="R710" s="33">
        <v>60540</v>
      </c>
      <c r="S710" s="34">
        <v>42067</v>
      </c>
      <c r="T710" s="34">
        <v>42068</v>
      </c>
      <c r="U710" s="29">
        <v>-17.75</v>
      </c>
      <c r="V710" s="26">
        <v>10</v>
      </c>
      <c r="W710" s="29">
        <v>153.87</v>
      </c>
      <c r="X710" s="26">
        <v>86792</v>
      </c>
      <c r="Y710" s="35">
        <v>205.89000000000001</v>
      </c>
      <c r="Z710" s="1" t="s">
        <v>3012</v>
      </c>
      <c r="AA710" s="36">
        <v>31.457999999999998</v>
      </c>
      <c r="AB710" s="54">
        <v>93.860699999999994</v>
      </c>
      <c r="AC710" s="54">
        <v>6.0009300000000003</v>
      </c>
      <c r="AD710" s="36">
        <v>131.172</v>
      </c>
    </row>
    <row r="711" spans="1:30" s="37" customFormat="1" ht="15.75" customHeight="1" x14ac:dyDescent="0.2">
      <c r="A711" s="26">
        <v>3133</v>
      </c>
      <c r="B711" s="27" t="s">
        <v>561</v>
      </c>
      <c r="C711" s="27" t="s">
        <v>26</v>
      </c>
      <c r="D711" s="28">
        <v>0.09</v>
      </c>
      <c r="E711" s="29">
        <v>8.4600000000000009</v>
      </c>
      <c r="F711" s="29">
        <v>8.99</v>
      </c>
      <c r="G711" s="30" t="s">
        <v>87</v>
      </c>
      <c r="H711" s="27" t="s">
        <v>94</v>
      </c>
      <c r="I711" s="27" t="s">
        <v>41</v>
      </c>
      <c r="J711" s="27" t="s">
        <v>42</v>
      </c>
      <c r="K711" s="27" t="s">
        <v>43</v>
      </c>
      <c r="L711" s="31" t="s">
        <v>1485</v>
      </c>
      <c r="M711" s="32">
        <v>0.79</v>
      </c>
      <c r="N711" s="27" t="s">
        <v>33</v>
      </c>
      <c r="O711" s="27" t="s">
        <v>53</v>
      </c>
      <c r="P711" s="27" t="s">
        <v>103</v>
      </c>
      <c r="Q711" s="27" t="s">
        <v>562</v>
      </c>
      <c r="R711" s="33">
        <v>60540</v>
      </c>
      <c r="S711" s="34">
        <v>42067</v>
      </c>
      <c r="T711" s="34">
        <v>42070</v>
      </c>
      <c r="U711" s="29">
        <v>-100.51</v>
      </c>
      <c r="V711" s="26">
        <v>5</v>
      </c>
      <c r="W711" s="29">
        <v>45.03</v>
      </c>
      <c r="X711" s="26">
        <v>86792</v>
      </c>
      <c r="Y711" s="35">
        <v>175.93</v>
      </c>
      <c r="Z711" s="1" t="s">
        <v>3012</v>
      </c>
      <c r="AA711" s="36">
        <v>3.8070000000000004</v>
      </c>
      <c r="AB711" s="54">
        <v>9.4562999999999988</v>
      </c>
      <c r="AC711" s="54">
        <v>7.1147400000000003</v>
      </c>
      <c r="AD711" s="36">
        <v>132.74299999999999</v>
      </c>
    </row>
    <row r="712" spans="1:30" s="37" customFormat="1" ht="15.75" customHeight="1" x14ac:dyDescent="0.2">
      <c r="A712" s="26">
        <v>3133</v>
      </c>
      <c r="B712" s="27" t="s">
        <v>561</v>
      </c>
      <c r="C712" s="27" t="s">
        <v>26</v>
      </c>
      <c r="D712" s="28">
        <v>0.08</v>
      </c>
      <c r="E712" s="29">
        <v>5.4</v>
      </c>
      <c r="F712" s="29">
        <v>7.78</v>
      </c>
      <c r="G712" s="30" t="s">
        <v>39</v>
      </c>
      <c r="H712" s="27" t="s">
        <v>94</v>
      </c>
      <c r="I712" s="27" t="s">
        <v>49</v>
      </c>
      <c r="J712" s="27" t="s">
        <v>72</v>
      </c>
      <c r="K712" s="27" t="s">
        <v>73</v>
      </c>
      <c r="L712" s="31" t="s">
        <v>1484</v>
      </c>
      <c r="M712" s="32">
        <v>0.37</v>
      </c>
      <c r="N712" s="27" t="s">
        <v>33</v>
      </c>
      <c r="O712" s="27" t="s">
        <v>53</v>
      </c>
      <c r="P712" s="27" t="s">
        <v>103</v>
      </c>
      <c r="Q712" s="27" t="s">
        <v>562</v>
      </c>
      <c r="R712" s="33">
        <v>60540</v>
      </c>
      <c r="S712" s="34">
        <v>42067</v>
      </c>
      <c r="T712" s="34">
        <v>42067</v>
      </c>
      <c r="U712" s="29">
        <v>-44.067999999999998</v>
      </c>
      <c r="V712" s="26">
        <v>4</v>
      </c>
      <c r="W712" s="29">
        <v>25.35</v>
      </c>
      <c r="X712" s="26">
        <v>86792</v>
      </c>
      <c r="Y712" s="35">
        <v>3.9400000000000004</v>
      </c>
      <c r="Z712" s="1" t="s">
        <v>3012</v>
      </c>
      <c r="AA712" s="36">
        <v>1.7280000000000002</v>
      </c>
      <c r="AB712" s="54">
        <v>15.970500000000001</v>
      </c>
      <c r="AC712" s="54">
        <v>2.344875</v>
      </c>
      <c r="AD712" s="36">
        <v>59.91</v>
      </c>
    </row>
    <row r="713" spans="1:30" s="37" customFormat="1" ht="15.75" customHeight="1" x14ac:dyDescent="0.2">
      <c r="A713" s="26">
        <v>1005</v>
      </c>
      <c r="B713" s="27" t="s">
        <v>1397</v>
      </c>
      <c r="C713" s="27" t="s">
        <v>48</v>
      </c>
      <c r="D713" s="28">
        <v>0.06</v>
      </c>
      <c r="E713" s="29">
        <v>10.14</v>
      </c>
      <c r="F713" s="29">
        <v>2.27</v>
      </c>
      <c r="G713" s="30" t="s">
        <v>39</v>
      </c>
      <c r="H713" s="27" t="s">
        <v>3095</v>
      </c>
      <c r="I713" s="27" t="s">
        <v>49</v>
      </c>
      <c r="J713" s="27" t="s">
        <v>88</v>
      </c>
      <c r="K713" s="27" t="s">
        <v>51</v>
      </c>
      <c r="L713" s="31" t="s">
        <v>171</v>
      </c>
      <c r="M713" s="32">
        <v>0.36</v>
      </c>
      <c r="N713" s="27" t="s">
        <v>33</v>
      </c>
      <c r="O713" s="27" t="s">
        <v>53</v>
      </c>
      <c r="P713" s="27" t="s">
        <v>103</v>
      </c>
      <c r="Q713" s="27" t="s">
        <v>1399</v>
      </c>
      <c r="R713" s="33">
        <v>60089</v>
      </c>
      <c r="S713" s="34">
        <v>42067</v>
      </c>
      <c r="T713" s="34">
        <v>42067</v>
      </c>
      <c r="U713" s="29">
        <v>-3.88</v>
      </c>
      <c r="V713" s="26">
        <v>1</v>
      </c>
      <c r="W713" s="29">
        <v>12.18</v>
      </c>
      <c r="X713" s="26">
        <v>90043</v>
      </c>
      <c r="Y713" s="35">
        <v>367.97</v>
      </c>
      <c r="Z713" s="1" t="s">
        <v>3012</v>
      </c>
      <c r="AA713" s="36">
        <v>0.60840000000000005</v>
      </c>
      <c r="AB713" s="54">
        <v>7.7952000000000004</v>
      </c>
      <c r="AC713" s="54">
        <v>4.3847999999999994</v>
      </c>
      <c r="AD713" s="36">
        <v>13.1816</v>
      </c>
    </row>
    <row r="714" spans="1:30" s="37" customFormat="1" ht="15.75" customHeight="1" x14ac:dyDescent="0.2">
      <c r="A714" s="26">
        <v>679</v>
      </c>
      <c r="B714" s="27" t="s">
        <v>1488</v>
      </c>
      <c r="C714" s="27" t="s">
        <v>116</v>
      </c>
      <c r="D714" s="28">
        <v>0.01</v>
      </c>
      <c r="E714" s="29">
        <v>3.95</v>
      </c>
      <c r="F714" s="29">
        <v>5.13</v>
      </c>
      <c r="G714" s="30" t="s">
        <v>39</v>
      </c>
      <c r="H714" s="27" t="s">
        <v>94</v>
      </c>
      <c r="I714" s="27" t="s">
        <v>49</v>
      </c>
      <c r="J714" s="27" t="s">
        <v>95</v>
      </c>
      <c r="K714" s="27" t="s">
        <v>73</v>
      </c>
      <c r="L714" s="31" t="s">
        <v>1489</v>
      </c>
      <c r="M714" s="32">
        <v>0.59</v>
      </c>
      <c r="N714" s="27" t="s">
        <v>33</v>
      </c>
      <c r="O714" s="27" t="s">
        <v>60</v>
      </c>
      <c r="P714" s="27" t="s">
        <v>67</v>
      </c>
      <c r="Q714" s="27" t="s">
        <v>1490</v>
      </c>
      <c r="R714" s="33">
        <v>98387</v>
      </c>
      <c r="S714" s="34">
        <v>42067</v>
      </c>
      <c r="T714" s="34">
        <v>42068</v>
      </c>
      <c r="U714" s="29">
        <v>-19.93</v>
      </c>
      <c r="V714" s="26">
        <v>2</v>
      </c>
      <c r="W714" s="29">
        <v>10.11</v>
      </c>
      <c r="X714" s="26">
        <v>88890</v>
      </c>
      <c r="Y714" s="35">
        <v>95.949999999999989</v>
      </c>
      <c r="Z714" s="1" t="s">
        <v>3013</v>
      </c>
      <c r="AA714" s="36">
        <v>7.9000000000000001E-2</v>
      </c>
      <c r="AB714" s="54">
        <v>4.1451000000000002</v>
      </c>
      <c r="AC714" s="54">
        <v>2.9824499999999996</v>
      </c>
      <c r="AD714" s="36">
        <v>24.831</v>
      </c>
    </row>
    <row r="715" spans="1:30" s="37" customFormat="1" ht="15.75" customHeight="1" x14ac:dyDescent="0.2">
      <c r="A715" s="26">
        <v>1279</v>
      </c>
      <c r="B715" s="27" t="s">
        <v>1447</v>
      </c>
      <c r="C715" s="27" t="s">
        <v>3094</v>
      </c>
      <c r="D715" s="28">
        <v>0</v>
      </c>
      <c r="E715" s="29">
        <v>442.14</v>
      </c>
      <c r="F715" s="29">
        <v>14.7</v>
      </c>
      <c r="G715" s="30" t="s">
        <v>27</v>
      </c>
      <c r="H715" s="27" t="s">
        <v>94</v>
      </c>
      <c r="I715" s="27" t="s">
        <v>41</v>
      </c>
      <c r="J715" s="27" t="s">
        <v>57</v>
      </c>
      <c r="K715" s="27" t="s">
        <v>58</v>
      </c>
      <c r="L715" s="31" t="s">
        <v>1312</v>
      </c>
      <c r="M715" s="32">
        <v>0.56000000000000005</v>
      </c>
      <c r="N715" s="27" t="s">
        <v>33</v>
      </c>
      <c r="O715" s="27" t="s">
        <v>53</v>
      </c>
      <c r="P715" s="27" t="s">
        <v>54</v>
      </c>
      <c r="Q715" s="27" t="s">
        <v>1448</v>
      </c>
      <c r="R715" s="33">
        <v>46324</v>
      </c>
      <c r="S715" s="34">
        <v>42068</v>
      </c>
      <c r="T715" s="34">
        <v>42068</v>
      </c>
      <c r="U715" s="29">
        <v>501.51</v>
      </c>
      <c r="V715" s="26">
        <v>5</v>
      </c>
      <c r="W715" s="29">
        <v>2343.34</v>
      </c>
      <c r="X715" s="26">
        <v>90115</v>
      </c>
      <c r="Y715" s="35">
        <v>107.48</v>
      </c>
      <c r="Z715" s="1" t="s">
        <v>3012</v>
      </c>
      <c r="AA715" s="36">
        <v>0</v>
      </c>
      <c r="AB715" s="54">
        <v>1031.0696</v>
      </c>
      <c r="AC715" s="54">
        <v>262.45408000000003</v>
      </c>
      <c r="AD715" s="36">
        <v>1827.13</v>
      </c>
    </row>
    <row r="716" spans="1:30" s="37" customFormat="1" ht="15.75" customHeight="1" x14ac:dyDescent="0.2">
      <c r="A716" s="26">
        <v>3003</v>
      </c>
      <c r="B716" s="27" t="s">
        <v>1507</v>
      </c>
      <c r="C716" s="27" t="s">
        <v>116</v>
      </c>
      <c r="D716" s="28">
        <v>0.03</v>
      </c>
      <c r="E716" s="29">
        <v>85.99</v>
      </c>
      <c r="F716" s="29">
        <v>0.99</v>
      </c>
      <c r="G716" s="30" t="s">
        <v>39</v>
      </c>
      <c r="H716" s="27" t="s">
        <v>71</v>
      </c>
      <c r="I716" s="27" t="s">
        <v>41</v>
      </c>
      <c r="J716" s="27" t="s">
        <v>135</v>
      </c>
      <c r="K716" s="27" t="s">
        <v>51</v>
      </c>
      <c r="L716" s="31" t="s">
        <v>1176</v>
      </c>
      <c r="M716" s="32">
        <v>0.55000000000000004</v>
      </c>
      <c r="N716" s="27" t="s">
        <v>33</v>
      </c>
      <c r="O716" s="27" t="s">
        <v>60</v>
      </c>
      <c r="P716" s="27" t="s">
        <v>490</v>
      </c>
      <c r="Q716" s="27" t="s">
        <v>1508</v>
      </c>
      <c r="R716" s="33">
        <v>83814</v>
      </c>
      <c r="S716" s="34">
        <v>42068</v>
      </c>
      <c r="T716" s="34">
        <v>42069</v>
      </c>
      <c r="U716" s="29">
        <v>1037.1044999999999</v>
      </c>
      <c r="V716" s="26">
        <v>20</v>
      </c>
      <c r="W716" s="29">
        <v>1503.05</v>
      </c>
      <c r="X716" s="26">
        <v>91586</v>
      </c>
      <c r="Y716" s="35">
        <v>3.23</v>
      </c>
      <c r="Z716" s="1" t="s">
        <v>3013</v>
      </c>
      <c r="AA716" s="36">
        <v>51.593999999999994</v>
      </c>
      <c r="AB716" s="54">
        <v>676.37249999999995</v>
      </c>
      <c r="AC716" s="54">
        <v>41.333875000000006</v>
      </c>
      <c r="AD716" s="36">
        <v>413.36149999999998</v>
      </c>
    </row>
    <row r="717" spans="1:30" s="37" customFormat="1" ht="15.75" customHeight="1" x14ac:dyDescent="0.2">
      <c r="A717" s="26">
        <v>670</v>
      </c>
      <c r="B717" s="27" t="s">
        <v>1500</v>
      </c>
      <c r="C717" s="27" t="s">
        <v>48</v>
      </c>
      <c r="D717" s="28">
        <v>0.08</v>
      </c>
      <c r="E717" s="29">
        <v>296.18</v>
      </c>
      <c r="F717" s="29">
        <v>54.12</v>
      </c>
      <c r="G717" s="30" t="s">
        <v>27</v>
      </c>
      <c r="H717" s="27" t="s">
        <v>71</v>
      </c>
      <c r="I717" s="27" t="s">
        <v>29</v>
      </c>
      <c r="J717" s="27" t="s">
        <v>30</v>
      </c>
      <c r="K717" s="27" t="s">
        <v>31</v>
      </c>
      <c r="L717" s="31" t="s">
        <v>1079</v>
      </c>
      <c r="M717" s="32">
        <v>0.76</v>
      </c>
      <c r="N717" s="27" t="s">
        <v>33</v>
      </c>
      <c r="O717" s="27" t="s">
        <v>34</v>
      </c>
      <c r="P717" s="27" t="s">
        <v>242</v>
      </c>
      <c r="Q717" s="27" t="s">
        <v>1501</v>
      </c>
      <c r="R717" s="33">
        <v>22025</v>
      </c>
      <c r="S717" s="34">
        <v>42068</v>
      </c>
      <c r="T717" s="34">
        <v>42075</v>
      </c>
      <c r="U717" s="29">
        <v>-187.22200000000001</v>
      </c>
      <c r="V717" s="26">
        <v>5</v>
      </c>
      <c r="W717" s="29">
        <v>1429.81</v>
      </c>
      <c r="X717" s="26">
        <v>88474</v>
      </c>
      <c r="Y717" s="35">
        <v>6.95</v>
      </c>
      <c r="Z717" s="1" t="s">
        <v>3011</v>
      </c>
      <c r="AA717" s="36">
        <v>118.47200000000001</v>
      </c>
      <c r="AB717" s="54">
        <v>343.15439999999995</v>
      </c>
      <c r="AC717" s="54">
        <v>217.33112</v>
      </c>
      <c r="AD717" s="36">
        <v>1444.44</v>
      </c>
    </row>
    <row r="718" spans="1:30" s="37" customFormat="1" ht="15.75" customHeight="1" x14ac:dyDescent="0.2">
      <c r="A718" s="26">
        <v>2696</v>
      </c>
      <c r="B718" s="27" t="s">
        <v>1494</v>
      </c>
      <c r="C718" s="27" t="s">
        <v>26</v>
      </c>
      <c r="D718" s="28">
        <v>0.05</v>
      </c>
      <c r="E718" s="29">
        <v>107.53</v>
      </c>
      <c r="F718" s="29">
        <v>5.81</v>
      </c>
      <c r="G718" s="30" t="s">
        <v>39</v>
      </c>
      <c r="H718" s="27" t="s">
        <v>71</v>
      </c>
      <c r="I718" s="27" t="s">
        <v>29</v>
      </c>
      <c r="J718" s="27" t="s">
        <v>126</v>
      </c>
      <c r="K718" s="27" t="s">
        <v>144</v>
      </c>
      <c r="L718" s="31" t="s">
        <v>1495</v>
      </c>
      <c r="M718" s="32">
        <v>0.65</v>
      </c>
      <c r="N718" s="27" t="s">
        <v>33</v>
      </c>
      <c r="O718" s="27" t="s">
        <v>34</v>
      </c>
      <c r="P718" s="27" t="s">
        <v>164</v>
      </c>
      <c r="Q718" s="27" t="s">
        <v>1496</v>
      </c>
      <c r="R718" s="33">
        <v>35401</v>
      </c>
      <c r="S718" s="34">
        <v>42068</v>
      </c>
      <c r="T718" s="34">
        <v>42069</v>
      </c>
      <c r="U718" s="29">
        <v>-89.418000000000006</v>
      </c>
      <c r="V718" s="26">
        <v>6</v>
      </c>
      <c r="W718" s="29">
        <v>612.91999999999996</v>
      </c>
      <c r="X718" s="26">
        <v>87676</v>
      </c>
      <c r="Y718" s="35">
        <v>296.10000000000002</v>
      </c>
      <c r="Z718" s="1" t="s">
        <v>3011</v>
      </c>
      <c r="AA718" s="36">
        <v>32.259</v>
      </c>
      <c r="AB718" s="54">
        <v>214.52199999999996</v>
      </c>
      <c r="AC718" s="54">
        <v>66.399666666666661</v>
      </c>
      <c r="AD718" s="36">
        <v>664.26900000000001</v>
      </c>
    </row>
    <row r="719" spans="1:30" s="37" customFormat="1" ht="15.75" customHeight="1" x14ac:dyDescent="0.2">
      <c r="A719" s="26">
        <v>1014</v>
      </c>
      <c r="B719" s="27" t="s">
        <v>1444</v>
      </c>
      <c r="C719" s="27" t="s">
        <v>3094</v>
      </c>
      <c r="D719" s="28">
        <v>0.08</v>
      </c>
      <c r="E719" s="29">
        <v>10.91</v>
      </c>
      <c r="F719" s="29">
        <v>2.99</v>
      </c>
      <c r="G719" s="30" t="s">
        <v>39</v>
      </c>
      <c r="H719" s="27" t="s">
        <v>71</v>
      </c>
      <c r="I719" s="27" t="s">
        <v>49</v>
      </c>
      <c r="J719" s="27" t="s">
        <v>72</v>
      </c>
      <c r="K719" s="27" t="s">
        <v>73</v>
      </c>
      <c r="L719" s="31" t="s">
        <v>1509</v>
      </c>
      <c r="M719" s="32">
        <v>0.38</v>
      </c>
      <c r="N719" s="27" t="s">
        <v>33</v>
      </c>
      <c r="O719" s="27" t="s">
        <v>34</v>
      </c>
      <c r="P719" s="27" t="s">
        <v>45</v>
      </c>
      <c r="Q719" s="27" t="s">
        <v>1445</v>
      </c>
      <c r="R719" s="33">
        <v>72022</v>
      </c>
      <c r="S719" s="34">
        <v>42068</v>
      </c>
      <c r="T719" s="34">
        <v>42069</v>
      </c>
      <c r="U719" s="29">
        <v>-2.1</v>
      </c>
      <c r="V719" s="26">
        <v>11</v>
      </c>
      <c r="W719" s="29">
        <v>119.99</v>
      </c>
      <c r="X719" s="26">
        <v>88388</v>
      </c>
      <c r="Y719" s="35">
        <v>4.51</v>
      </c>
      <c r="Z719" s="1" t="s">
        <v>3011</v>
      </c>
      <c r="AA719" s="36">
        <v>9.6007999999999996</v>
      </c>
      <c r="AB719" s="54">
        <v>74.393799999999999</v>
      </c>
      <c r="AC719" s="54">
        <v>4.1451090909090906</v>
      </c>
      <c r="AD719" s="36">
        <v>109.4992</v>
      </c>
    </row>
    <row r="720" spans="1:30" s="37" customFormat="1" ht="15.75" customHeight="1" x14ac:dyDescent="0.2">
      <c r="A720" s="26">
        <v>2376</v>
      </c>
      <c r="B720" s="27" t="s">
        <v>1497</v>
      </c>
      <c r="C720" s="27" t="s">
        <v>38</v>
      </c>
      <c r="D720" s="28">
        <v>0.03</v>
      </c>
      <c r="E720" s="29">
        <v>6.98</v>
      </c>
      <c r="F720" s="29">
        <v>9.69</v>
      </c>
      <c r="G720" s="30" t="s">
        <v>39</v>
      </c>
      <c r="H720" s="27" t="s">
        <v>94</v>
      </c>
      <c r="I720" s="27" t="s">
        <v>49</v>
      </c>
      <c r="J720" s="27" t="s">
        <v>78</v>
      </c>
      <c r="K720" s="27" t="s">
        <v>73</v>
      </c>
      <c r="L720" s="31" t="s">
        <v>1499</v>
      </c>
      <c r="M720" s="32">
        <v>0.83</v>
      </c>
      <c r="N720" s="27" t="s">
        <v>33</v>
      </c>
      <c r="O720" s="27" t="s">
        <v>60</v>
      </c>
      <c r="P720" s="27" t="s">
        <v>490</v>
      </c>
      <c r="Q720" s="27" t="s">
        <v>1498</v>
      </c>
      <c r="R720" s="33">
        <v>83843</v>
      </c>
      <c r="S720" s="34">
        <v>42068</v>
      </c>
      <c r="T720" s="34">
        <v>42070</v>
      </c>
      <c r="U720" s="29">
        <v>-262.62</v>
      </c>
      <c r="V720" s="26">
        <v>15</v>
      </c>
      <c r="W720" s="29">
        <v>109.15</v>
      </c>
      <c r="X720" s="26">
        <v>91321</v>
      </c>
      <c r="Y720" s="35">
        <v>34.959999999999994</v>
      </c>
      <c r="Z720" s="1" t="s">
        <v>3013</v>
      </c>
      <c r="AA720" s="36">
        <v>3.141</v>
      </c>
      <c r="AB720" s="54">
        <v>18.555500000000006</v>
      </c>
      <c r="AC720" s="54">
        <v>6.0396333333333336</v>
      </c>
      <c r="AD720" s="36">
        <v>358.93900000000002</v>
      </c>
    </row>
    <row r="721" spans="1:30" s="37" customFormat="1" ht="15.75" customHeight="1" x14ac:dyDescent="0.2">
      <c r="A721" s="26">
        <v>1432</v>
      </c>
      <c r="B721" s="27" t="s">
        <v>1510</v>
      </c>
      <c r="C721" s="27" t="s">
        <v>3094</v>
      </c>
      <c r="D721" s="28">
        <v>0.05</v>
      </c>
      <c r="E721" s="29">
        <v>9.7799999999999994</v>
      </c>
      <c r="F721" s="29">
        <v>1.39</v>
      </c>
      <c r="G721" s="30" t="s">
        <v>39</v>
      </c>
      <c r="H721" s="27" t="s">
        <v>94</v>
      </c>
      <c r="I721" s="27" t="s">
        <v>49</v>
      </c>
      <c r="J721" s="27" t="s">
        <v>345</v>
      </c>
      <c r="K721" s="27" t="s">
        <v>73</v>
      </c>
      <c r="L721" s="31" t="s">
        <v>1511</v>
      </c>
      <c r="M721" s="32">
        <v>0.39</v>
      </c>
      <c r="N721" s="27" t="s">
        <v>33</v>
      </c>
      <c r="O721" s="27" t="s">
        <v>53</v>
      </c>
      <c r="P721" s="27" t="s">
        <v>54</v>
      </c>
      <c r="Q721" s="27" t="s">
        <v>1512</v>
      </c>
      <c r="R721" s="33">
        <v>46203</v>
      </c>
      <c r="S721" s="34">
        <v>42068</v>
      </c>
      <c r="T721" s="34">
        <v>42069</v>
      </c>
      <c r="U721" s="29">
        <v>74.278499999999994</v>
      </c>
      <c r="V721" s="26">
        <v>11</v>
      </c>
      <c r="W721" s="29">
        <v>107.65</v>
      </c>
      <c r="X721" s="26">
        <v>86826</v>
      </c>
      <c r="Y721" s="35">
        <v>19.979999999999997</v>
      </c>
      <c r="Z721" s="1" t="s">
        <v>3012</v>
      </c>
      <c r="AA721" s="36">
        <v>5.3789999999999996</v>
      </c>
      <c r="AB721" s="54">
        <v>65.666499999999999</v>
      </c>
      <c r="AC721" s="54">
        <v>3.8166818181818187</v>
      </c>
      <c r="AD721" s="36">
        <v>26.602500000000006</v>
      </c>
    </row>
    <row r="722" spans="1:30" s="37" customFormat="1" ht="15.75" customHeight="1" x14ac:dyDescent="0.2">
      <c r="A722" s="26">
        <v>2006</v>
      </c>
      <c r="B722" s="27" t="s">
        <v>1515</v>
      </c>
      <c r="C722" s="27" t="s">
        <v>3094</v>
      </c>
      <c r="D722" s="28">
        <v>0.03</v>
      </c>
      <c r="E722" s="29">
        <v>5.78</v>
      </c>
      <c r="F722" s="29">
        <v>5.37</v>
      </c>
      <c r="G722" s="30" t="s">
        <v>39</v>
      </c>
      <c r="H722" s="27" t="s">
        <v>71</v>
      </c>
      <c r="I722" s="27" t="s">
        <v>49</v>
      </c>
      <c r="J722" s="27" t="s">
        <v>88</v>
      </c>
      <c r="K722" s="27" t="s">
        <v>73</v>
      </c>
      <c r="L722" s="31" t="s">
        <v>1516</v>
      </c>
      <c r="M722" s="32">
        <v>0.36</v>
      </c>
      <c r="N722" s="27" t="s">
        <v>33</v>
      </c>
      <c r="O722" s="27" t="s">
        <v>60</v>
      </c>
      <c r="P722" s="27" t="s">
        <v>61</v>
      </c>
      <c r="Q722" s="27" t="s">
        <v>1243</v>
      </c>
      <c r="R722" s="33">
        <v>81301</v>
      </c>
      <c r="S722" s="34">
        <v>42068</v>
      </c>
      <c r="T722" s="34">
        <v>42069</v>
      </c>
      <c r="U722" s="29">
        <v>-63.35</v>
      </c>
      <c r="V722" s="26">
        <v>15</v>
      </c>
      <c r="W722" s="29">
        <v>88.22</v>
      </c>
      <c r="X722" s="26">
        <v>88798</v>
      </c>
      <c r="Y722" s="35">
        <v>85.96</v>
      </c>
      <c r="Z722" s="1" t="s">
        <v>3013</v>
      </c>
      <c r="AA722" s="36">
        <v>2.601</v>
      </c>
      <c r="AB722" s="54">
        <v>56.460799999999999</v>
      </c>
      <c r="AC722" s="54">
        <v>2.1172800000000001</v>
      </c>
      <c r="AD722" s="36">
        <v>143.59899999999999</v>
      </c>
    </row>
    <row r="723" spans="1:30" s="37" customFormat="1" ht="15.75" customHeight="1" x14ac:dyDescent="0.2">
      <c r="A723" s="26">
        <v>2376</v>
      </c>
      <c r="B723" s="27" t="s">
        <v>1497</v>
      </c>
      <c r="C723" s="27" t="s">
        <v>38</v>
      </c>
      <c r="D723" s="28">
        <v>0.05</v>
      </c>
      <c r="E723" s="29">
        <v>3.28</v>
      </c>
      <c r="F723" s="29">
        <v>3.97</v>
      </c>
      <c r="G723" s="30" t="s">
        <v>39</v>
      </c>
      <c r="H723" s="27" t="s">
        <v>94</v>
      </c>
      <c r="I723" s="27" t="s">
        <v>49</v>
      </c>
      <c r="J723" s="27" t="s">
        <v>50</v>
      </c>
      <c r="K723" s="27" t="s">
        <v>51</v>
      </c>
      <c r="L723" s="31" t="s">
        <v>245</v>
      </c>
      <c r="M723" s="32">
        <v>0.56000000000000005</v>
      </c>
      <c r="N723" s="27" t="s">
        <v>33</v>
      </c>
      <c r="O723" s="27" t="s">
        <v>60</v>
      </c>
      <c r="P723" s="27" t="s">
        <v>490</v>
      </c>
      <c r="Q723" s="27" t="s">
        <v>1498</v>
      </c>
      <c r="R723" s="33">
        <v>83843</v>
      </c>
      <c r="S723" s="34">
        <v>42068</v>
      </c>
      <c r="T723" s="34">
        <v>42069</v>
      </c>
      <c r="U723" s="29">
        <v>-100.24</v>
      </c>
      <c r="V723" s="26">
        <v>18</v>
      </c>
      <c r="W723" s="29">
        <v>61.29</v>
      </c>
      <c r="X723" s="26">
        <v>91321</v>
      </c>
      <c r="Y723" s="35">
        <v>10.83</v>
      </c>
      <c r="Z723" s="1" t="s">
        <v>3013</v>
      </c>
      <c r="AA723" s="36">
        <v>2.952</v>
      </c>
      <c r="AB723" s="54">
        <v>26.967599999999997</v>
      </c>
      <c r="AC723" s="54">
        <v>1.9068000000000001</v>
      </c>
      <c r="AD723" s="36">
        <v>154.608</v>
      </c>
    </row>
    <row r="724" spans="1:30" s="37" customFormat="1" ht="15.75" customHeight="1" x14ac:dyDescent="0.2">
      <c r="A724" s="26">
        <v>2944</v>
      </c>
      <c r="B724" s="27" t="s">
        <v>1502</v>
      </c>
      <c r="C724" s="27" t="s">
        <v>48</v>
      </c>
      <c r="D724" s="28">
        <v>0.04</v>
      </c>
      <c r="E724" s="29">
        <v>4.55</v>
      </c>
      <c r="F724" s="29">
        <v>1.49</v>
      </c>
      <c r="G724" s="30" t="s">
        <v>39</v>
      </c>
      <c r="H724" s="27" t="s">
        <v>94</v>
      </c>
      <c r="I724" s="27" t="s">
        <v>49</v>
      </c>
      <c r="J724" s="27" t="s">
        <v>72</v>
      </c>
      <c r="K724" s="27" t="s">
        <v>73</v>
      </c>
      <c r="L724" s="31" t="s">
        <v>1503</v>
      </c>
      <c r="M724" s="32">
        <v>0.35</v>
      </c>
      <c r="N724" s="27" t="s">
        <v>33</v>
      </c>
      <c r="O724" s="27" t="s">
        <v>53</v>
      </c>
      <c r="P724" s="27" t="s">
        <v>289</v>
      </c>
      <c r="Q724" s="27" t="s">
        <v>1504</v>
      </c>
      <c r="R724" s="33">
        <v>48640</v>
      </c>
      <c r="S724" s="34">
        <v>42068</v>
      </c>
      <c r="T724" s="34">
        <v>42070</v>
      </c>
      <c r="U724" s="29">
        <v>28.288</v>
      </c>
      <c r="V724" s="26">
        <v>13</v>
      </c>
      <c r="W724" s="29">
        <v>59.75</v>
      </c>
      <c r="X724" s="26">
        <v>90309</v>
      </c>
      <c r="Y724" s="35">
        <v>442.14</v>
      </c>
      <c r="Z724" s="1" t="s">
        <v>3012</v>
      </c>
      <c r="AA724" s="36">
        <v>2.3660000000000001</v>
      </c>
      <c r="AB724" s="54">
        <v>38.837499999999999</v>
      </c>
      <c r="AC724" s="54">
        <v>1.608653846153846</v>
      </c>
      <c r="AD724" s="36">
        <v>27.606000000000002</v>
      </c>
    </row>
    <row r="725" spans="1:30" s="37" customFormat="1" ht="15.75" customHeight="1" x14ac:dyDescent="0.2">
      <c r="A725" s="26">
        <v>392</v>
      </c>
      <c r="B725" s="27" t="s">
        <v>1505</v>
      </c>
      <c r="C725" s="27" t="s">
        <v>116</v>
      </c>
      <c r="D725" s="28">
        <v>0.01</v>
      </c>
      <c r="E725" s="29">
        <v>19.989999999999998</v>
      </c>
      <c r="F725" s="29">
        <v>11.17</v>
      </c>
      <c r="G725" s="30" t="s">
        <v>39</v>
      </c>
      <c r="H725" s="27" t="s">
        <v>94</v>
      </c>
      <c r="I725" s="27" t="s">
        <v>29</v>
      </c>
      <c r="J725" s="27" t="s">
        <v>126</v>
      </c>
      <c r="K725" s="27" t="s">
        <v>65</v>
      </c>
      <c r="L725" s="31" t="s">
        <v>489</v>
      </c>
      <c r="M725" s="32">
        <v>0.6</v>
      </c>
      <c r="N725" s="27" t="s">
        <v>33</v>
      </c>
      <c r="O725" s="27" t="s">
        <v>53</v>
      </c>
      <c r="P725" s="27" t="s">
        <v>80</v>
      </c>
      <c r="Q725" s="27" t="s">
        <v>1506</v>
      </c>
      <c r="R725" s="33">
        <v>63105</v>
      </c>
      <c r="S725" s="34">
        <v>42068</v>
      </c>
      <c r="T725" s="34">
        <v>42071</v>
      </c>
      <c r="U725" s="29">
        <v>27.91</v>
      </c>
      <c r="V725" s="26">
        <v>2</v>
      </c>
      <c r="W725" s="29">
        <v>43.65</v>
      </c>
      <c r="X725" s="26">
        <v>86383</v>
      </c>
      <c r="Y725" s="35">
        <v>9.7299999999999986</v>
      </c>
      <c r="Z725" s="1" t="s">
        <v>3012</v>
      </c>
      <c r="AA725" s="36">
        <v>0.39979999999999999</v>
      </c>
      <c r="AB725" s="54">
        <v>17.46</v>
      </c>
      <c r="AC725" s="54">
        <v>13.094999999999999</v>
      </c>
      <c r="AD725" s="36">
        <v>4.1702000000000012</v>
      </c>
    </row>
    <row r="726" spans="1:30" s="37" customFormat="1" ht="15.75" customHeight="1" x14ac:dyDescent="0.2">
      <c r="A726" s="26">
        <v>392</v>
      </c>
      <c r="B726" s="27" t="s">
        <v>1505</v>
      </c>
      <c r="C726" s="27" t="s">
        <v>116</v>
      </c>
      <c r="D726" s="28">
        <v>0.02</v>
      </c>
      <c r="E726" s="29">
        <v>34.979999999999997</v>
      </c>
      <c r="F726" s="29">
        <v>7.53</v>
      </c>
      <c r="G726" s="30" t="s">
        <v>39</v>
      </c>
      <c r="H726" s="27" t="s">
        <v>94</v>
      </c>
      <c r="I726" s="27" t="s">
        <v>41</v>
      </c>
      <c r="J726" s="27" t="s">
        <v>42</v>
      </c>
      <c r="K726" s="27" t="s">
        <v>73</v>
      </c>
      <c r="L726" s="31" t="s">
        <v>1439</v>
      </c>
      <c r="M726" s="32">
        <v>0.76</v>
      </c>
      <c r="N726" s="27" t="s">
        <v>33</v>
      </c>
      <c r="O726" s="27" t="s">
        <v>53</v>
      </c>
      <c r="P726" s="27" t="s">
        <v>80</v>
      </c>
      <c r="Q726" s="27" t="s">
        <v>1506</v>
      </c>
      <c r="R726" s="33">
        <v>63105</v>
      </c>
      <c r="S726" s="34">
        <v>42068</v>
      </c>
      <c r="T726" s="34">
        <v>42070</v>
      </c>
      <c r="U726" s="29">
        <v>-159.68</v>
      </c>
      <c r="V726" s="26">
        <v>1</v>
      </c>
      <c r="W726" s="29">
        <v>37.159999999999997</v>
      </c>
      <c r="X726" s="26">
        <v>86383</v>
      </c>
      <c r="Y726" s="35">
        <v>3.26</v>
      </c>
      <c r="Z726" s="1" t="s">
        <v>3012</v>
      </c>
      <c r="AA726" s="36">
        <v>0.6996</v>
      </c>
      <c r="AB726" s="54">
        <v>8.9183999999999983</v>
      </c>
      <c r="AC726" s="54">
        <v>28.241599999999998</v>
      </c>
      <c r="AD726" s="36">
        <v>188.6104</v>
      </c>
    </row>
    <row r="727" spans="1:30" s="37" customFormat="1" ht="15.75" customHeight="1" x14ac:dyDescent="0.2">
      <c r="A727" s="26">
        <v>1433</v>
      </c>
      <c r="B727" s="27" t="s">
        <v>1513</v>
      </c>
      <c r="C727" s="27" t="s">
        <v>3094</v>
      </c>
      <c r="D727" s="28">
        <v>0.02</v>
      </c>
      <c r="E727" s="29">
        <v>3.28</v>
      </c>
      <c r="F727" s="29">
        <v>3.97</v>
      </c>
      <c r="G727" s="30" t="s">
        <v>87</v>
      </c>
      <c r="H727" s="27" t="s">
        <v>94</v>
      </c>
      <c r="I727" s="27" t="s">
        <v>49</v>
      </c>
      <c r="J727" s="27" t="s">
        <v>50</v>
      </c>
      <c r="K727" s="27" t="s">
        <v>51</v>
      </c>
      <c r="L727" s="31" t="s">
        <v>367</v>
      </c>
      <c r="M727" s="32">
        <v>0.56000000000000005</v>
      </c>
      <c r="N727" s="27" t="s">
        <v>33</v>
      </c>
      <c r="O727" s="27" t="s">
        <v>53</v>
      </c>
      <c r="P727" s="27" t="s">
        <v>54</v>
      </c>
      <c r="Q727" s="27" t="s">
        <v>1514</v>
      </c>
      <c r="R727" s="33">
        <v>47130</v>
      </c>
      <c r="S727" s="34">
        <v>42068</v>
      </c>
      <c r="T727" s="34">
        <v>42069</v>
      </c>
      <c r="U727" s="29">
        <v>-66.349999999999994</v>
      </c>
      <c r="V727" s="26">
        <v>7</v>
      </c>
      <c r="W727" s="29">
        <v>25.15</v>
      </c>
      <c r="X727" s="26">
        <v>86826</v>
      </c>
      <c r="Y727" s="35">
        <v>5.75</v>
      </c>
      <c r="Z727" s="1" t="s">
        <v>3012</v>
      </c>
      <c r="AA727" s="36">
        <v>0.45919999999999994</v>
      </c>
      <c r="AB727" s="54">
        <v>11.065999999999997</v>
      </c>
      <c r="AC727" s="54">
        <v>2.012</v>
      </c>
      <c r="AD727" s="36">
        <v>87.070799999999991</v>
      </c>
    </row>
    <row r="728" spans="1:30" s="37" customFormat="1" ht="15.75" customHeight="1" x14ac:dyDescent="0.2">
      <c r="A728" s="26">
        <v>2729</v>
      </c>
      <c r="B728" s="27" t="s">
        <v>1527</v>
      </c>
      <c r="C728" s="27" t="s">
        <v>48</v>
      </c>
      <c r="D728" s="28">
        <v>0.08</v>
      </c>
      <c r="E728" s="29">
        <v>230.98</v>
      </c>
      <c r="F728" s="29">
        <v>23.78</v>
      </c>
      <c r="G728" s="30" t="s">
        <v>27</v>
      </c>
      <c r="H728" s="27" t="s">
        <v>40</v>
      </c>
      <c r="I728" s="27" t="s">
        <v>29</v>
      </c>
      <c r="J728" s="27" t="s">
        <v>30</v>
      </c>
      <c r="K728" s="27" t="s">
        <v>31</v>
      </c>
      <c r="L728" s="31" t="s">
        <v>1528</v>
      </c>
      <c r="M728" s="32">
        <v>0.6</v>
      </c>
      <c r="N728" s="27" t="s">
        <v>33</v>
      </c>
      <c r="O728" s="27" t="s">
        <v>60</v>
      </c>
      <c r="P728" s="27" t="s">
        <v>67</v>
      </c>
      <c r="Q728" s="27" t="s">
        <v>404</v>
      </c>
      <c r="R728" s="33">
        <v>98226</v>
      </c>
      <c r="S728" s="34">
        <v>42069</v>
      </c>
      <c r="T728" s="34">
        <v>42073</v>
      </c>
      <c r="U728" s="29">
        <v>501.69</v>
      </c>
      <c r="V728" s="26">
        <v>4</v>
      </c>
      <c r="W728" s="29">
        <v>924.8</v>
      </c>
      <c r="X728" s="26">
        <v>88114</v>
      </c>
      <c r="Y728" s="35">
        <v>6.4200000000000008</v>
      </c>
      <c r="Z728" s="1" t="s">
        <v>3013</v>
      </c>
      <c r="AA728" s="36">
        <v>73.913600000000002</v>
      </c>
      <c r="AB728" s="54">
        <v>369.92</v>
      </c>
      <c r="AC728" s="54">
        <v>138.72</v>
      </c>
      <c r="AD728" s="36">
        <v>325.41639999999995</v>
      </c>
    </row>
    <row r="729" spans="1:30" s="37" customFormat="1" ht="15.75" customHeight="1" x14ac:dyDescent="0.2">
      <c r="A729" s="26">
        <v>1771</v>
      </c>
      <c r="B729" s="27" t="s">
        <v>1529</v>
      </c>
      <c r="C729" s="27" t="s">
        <v>116</v>
      </c>
      <c r="D729" s="28">
        <v>7.0000000000000007E-2</v>
      </c>
      <c r="E729" s="29">
        <v>60.98</v>
      </c>
      <c r="F729" s="29">
        <v>49</v>
      </c>
      <c r="G729" s="30" t="s">
        <v>39</v>
      </c>
      <c r="H729" s="27" t="s">
        <v>71</v>
      </c>
      <c r="I729" s="27" t="s">
        <v>49</v>
      </c>
      <c r="J729" s="27" t="s">
        <v>95</v>
      </c>
      <c r="K729" s="27" t="s">
        <v>65</v>
      </c>
      <c r="L729" s="31" t="s">
        <v>1530</v>
      </c>
      <c r="M729" s="32">
        <v>0.59</v>
      </c>
      <c r="N729" s="27" t="s">
        <v>33</v>
      </c>
      <c r="O729" s="27" t="s">
        <v>53</v>
      </c>
      <c r="P729" s="27" t="s">
        <v>103</v>
      </c>
      <c r="Q729" s="27" t="s">
        <v>1037</v>
      </c>
      <c r="R729" s="33">
        <v>61032</v>
      </c>
      <c r="S729" s="34">
        <v>42069</v>
      </c>
      <c r="T729" s="34">
        <v>42070</v>
      </c>
      <c r="U729" s="29">
        <v>-807.89</v>
      </c>
      <c r="V729" s="26">
        <v>7</v>
      </c>
      <c r="W729" s="29">
        <v>410.17</v>
      </c>
      <c r="X729" s="26">
        <v>89106</v>
      </c>
      <c r="Y729" s="35">
        <v>9.94</v>
      </c>
      <c r="Z729" s="1" t="s">
        <v>3012</v>
      </c>
      <c r="AA729" s="36">
        <v>29.880200000000002</v>
      </c>
      <c r="AB729" s="54">
        <v>168.16970000000001</v>
      </c>
      <c r="AC729" s="54">
        <v>34.571471428571428</v>
      </c>
      <c r="AD729" s="36">
        <v>1139.1798000000001</v>
      </c>
    </row>
    <row r="730" spans="1:30" s="37" customFormat="1" ht="15.75" customHeight="1" x14ac:dyDescent="0.2">
      <c r="A730" s="26">
        <v>3327</v>
      </c>
      <c r="B730" s="27" t="s">
        <v>1534</v>
      </c>
      <c r="C730" s="27" t="s">
        <v>3094</v>
      </c>
      <c r="D730" s="28">
        <v>0.06</v>
      </c>
      <c r="E730" s="29">
        <v>113.98</v>
      </c>
      <c r="F730" s="29">
        <v>30</v>
      </c>
      <c r="G730" s="30" t="s">
        <v>27</v>
      </c>
      <c r="H730" s="27" t="s">
        <v>3095</v>
      </c>
      <c r="I730" s="27" t="s">
        <v>29</v>
      </c>
      <c r="J730" s="27" t="s">
        <v>109</v>
      </c>
      <c r="K730" s="27" t="s">
        <v>58</v>
      </c>
      <c r="L730" s="31" t="s">
        <v>1535</v>
      </c>
      <c r="M730" s="32">
        <v>0.69</v>
      </c>
      <c r="N730" s="27" t="s">
        <v>33</v>
      </c>
      <c r="O730" s="27" t="s">
        <v>53</v>
      </c>
      <c r="P730" s="27" t="s">
        <v>289</v>
      </c>
      <c r="Q730" s="27" t="s">
        <v>1536</v>
      </c>
      <c r="R730" s="33">
        <v>48060</v>
      </c>
      <c r="S730" s="34">
        <v>42069</v>
      </c>
      <c r="T730" s="34">
        <v>42071</v>
      </c>
      <c r="U730" s="29">
        <v>-127.3</v>
      </c>
      <c r="V730" s="26">
        <v>3</v>
      </c>
      <c r="W730" s="29">
        <v>356.14</v>
      </c>
      <c r="X730" s="26">
        <v>87272</v>
      </c>
      <c r="Y730" s="35">
        <v>4.12</v>
      </c>
      <c r="Z730" s="1" t="s">
        <v>3012</v>
      </c>
      <c r="AA730" s="36">
        <v>20.516400000000001</v>
      </c>
      <c r="AB730" s="54">
        <v>110.40340000000002</v>
      </c>
      <c r="AC730" s="54">
        <v>81.912199999999984</v>
      </c>
      <c r="AD730" s="36">
        <v>432.92359999999996</v>
      </c>
    </row>
    <row r="731" spans="1:30" s="37" customFormat="1" ht="15.75" customHeight="1" x14ac:dyDescent="0.2">
      <c r="A731" s="26">
        <v>3008</v>
      </c>
      <c r="B731" s="27" t="s">
        <v>1518</v>
      </c>
      <c r="C731" s="27" t="s">
        <v>26</v>
      </c>
      <c r="D731" s="28">
        <v>0.05</v>
      </c>
      <c r="E731" s="29">
        <v>9.99</v>
      </c>
      <c r="F731" s="29">
        <v>4.78</v>
      </c>
      <c r="G731" s="30" t="s">
        <v>39</v>
      </c>
      <c r="H731" s="27" t="s">
        <v>71</v>
      </c>
      <c r="I731" s="27" t="s">
        <v>49</v>
      </c>
      <c r="J731" s="27" t="s">
        <v>88</v>
      </c>
      <c r="K731" s="27" t="s">
        <v>73</v>
      </c>
      <c r="L731" s="31" t="s">
        <v>1519</v>
      </c>
      <c r="M731" s="32">
        <v>0.4</v>
      </c>
      <c r="N731" s="27" t="s">
        <v>33</v>
      </c>
      <c r="O731" s="27" t="s">
        <v>53</v>
      </c>
      <c r="P731" s="27" t="s">
        <v>84</v>
      </c>
      <c r="Q731" s="27" t="s">
        <v>1520</v>
      </c>
      <c r="R731" s="33">
        <v>55343</v>
      </c>
      <c r="S731" s="34">
        <v>42069</v>
      </c>
      <c r="T731" s="34">
        <v>42070</v>
      </c>
      <c r="U731" s="29">
        <v>41.3</v>
      </c>
      <c r="V731" s="26">
        <v>20</v>
      </c>
      <c r="W731" s="29">
        <v>203.37</v>
      </c>
      <c r="X731" s="26">
        <v>89414</v>
      </c>
      <c r="Y731" s="35">
        <v>6.3900000000000006</v>
      </c>
      <c r="Z731" s="1" t="s">
        <v>3012</v>
      </c>
      <c r="AA731" s="36">
        <v>9.990000000000002</v>
      </c>
      <c r="AB731" s="54">
        <v>122.02199999999999</v>
      </c>
      <c r="AC731" s="54">
        <v>4.0674000000000001</v>
      </c>
      <c r="AD731" s="36">
        <v>147.30000000000001</v>
      </c>
    </row>
    <row r="732" spans="1:30" s="37" customFormat="1" ht="15.75" customHeight="1" x14ac:dyDescent="0.2">
      <c r="A732" s="26">
        <v>868</v>
      </c>
      <c r="B732" s="27" t="s">
        <v>1368</v>
      </c>
      <c r="C732" s="27" t="s">
        <v>26</v>
      </c>
      <c r="D732" s="28">
        <v>0.06</v>
      </c>
      <c r="E732" s="29">
        <v>6.48</v>
      </c>
      <c r="F732" s="29">
        <v>8.8800000000000008</v>
      </c>
      <c r="G732" s="30" t="s">
        <v>39</v>
      </c>
      <c r="H732" s="27" t="s">
        <v>94</v>
      </c>
      <c r="I732" s="27" t="s">
        <v>49</v>
      </c>
      <c r="J732" s="27" t="s">
        <v>88</v>
      </c>
      <c r="K732" s="27" t="s">
        <v>73</v>
      </c>
      <c r="L732" s="31" t="s">
        <v>1517</v>
      </c>
      <c r="M732" s="32">
        <v>0.37</v>
      </c>
      <c r="N732" s="27" t="s">
        <v>33</v>
      </c>
      <c r="O732" s="27" t="s">
        <v>53</v>
      </c>
      <c r="P732" s="27" t="s">
        <v>84</v>
      </c>
      <c r="Q732" s="27" t="s">
        <v>1370</v>
      </c>
      <c r="R732" s="33">
        <v>55126</v>
      </c>
      <c r="S732" s="34">
        <v>42069</v>
      </c>
      <c r="T732" s="34">
        <v>42070</v>
      </c>
      <c r="U732" s="29">
        <v>-237.47</v>
      </c>
      <c r="V732" s="26">
        <v>20</v>
      </c>
      <c r="W732" s="29">
        <v>125.77</v>
      </c>
      <c r="X732" s="26">
        <v>91195</v>
      </c>
      <c r="Y732" s="35">
        <v>230.89999999999998</v>
      </c>
      <c r="Z732" s="1" t="s">
        <v>3012</v>
      </c>
      <c r="AA732" s="36">
        <v>7.7760000000000007</v>
      </c>
      <c r="AB732" s="54">
        <v>79.235100000000003</v>
      </c>
      <c r="AC732" s="54">
        <v>2.3267449999999998</v>
      </c>
      <c r="AD732" s="36">
        <v>346.584</v>
      </c>
    </row>
    <row r="733" spans="1:30" s="37" customFormat="1" ht="15.75" customHeight="1" x14ac:dyDescent="0.2">
      <c r="A733" s="26">
        <v>945</v>
      </c>
      <c r="B733" s="27" t="s">
        <v>1531</v>
      </c>
      <c r="C733" s="27" t="s">
        <v>3094</v>
      </c>
      <c r="D733" s="28">
        <v>0.03</v>
      </c>
      <c r="E733" s="29">
        <v>31.74</v>
      </c>
      <c r="F733" s="29">
        <v>12.62</v>
      </c>
      <c r="G733" s="30" t="s">
        <v>39</v>
      </c>
      <c r="H733" s="27" t="s">
        <v>71</v>
      </c>
      <c r="I733" s="27" t="s">
        <v>49</v>
      </c>
      <c r="J733" s="27" t="s">
        <v>72</v>
      </c>
      <c r="K733" s="27" t="s">
        <v>73</v>
      </c>
      <c r="L733" s="31" t="s">
        <v>1532</v>
      </c>
      <c r="M733" s="32">
        <v>0.37</v>
      </c>
      <c r="N733" s="27" t="s">
        <v>33</v>
      </c>
      <c r="O733" s="27" t="s">
        <v>60</v>
      </c>
      <c r="P733" s="27" t="s">
        <v>90</v>
      </c>
      <c r="Q733" s="27" t="s">
        <v>1533</v>
      </c>
      <c r="R733" s="33">
        <v>95070</v>
      </c>
      <c r="S733" s="34">
        <v>42069</v>
      </c>
      <c r="T733" s="34">
        <v>42069</v>
      </c>
      <c r="U733" s="29">
        <v>-4.3010000000000002</v>
      </c>
      <c r="V733" s="26">
        <v>3</v>
      </c>
      <c r="W733" s="29">
        <v>98.7</v>
      </c>
      <c r="X733" s="26">
        <v>86567</v>
      </c>
      <c r="Y733" s="35">
        <v>60.91</v>
      </c>
      <c r="Z733" s="1" t="s">
        <v>3013</v>
      </c>
      <c r="AA733" s="36">
        <v>2.8565999999999998</v>
      </c>
      <c r="AB733" s="54">
        <v>62.181000000000004</v>
      </c>
      <c r="AC733" s="54">
        <v>12.173</v>
      </c>
      <c r="AD733" s="36">
        <v>87.5244</v>
      </c>
    </row>
    <row r="734" spans="1:30" s="37" customFormat="1" ht="15.75" customHeight="1" x14ac:dyDescent="0.2">
      <c r="A734" s="26">
        <v>797</v>
      </c>
      <c r="B734" s="27" t="s">
        <v>1524</v>
      </c>
      <c r="C734" s="27" t="s">
        <v>48</v>
      </c>
      <c r="D734" s="28">
        <v>0.09</v>
      </c>
      <c r="E734" s="29">
        <v>6.48</v>
      </c>
      <c r="F734" s="29">
        <v>6.86</v>
      </c>
      <c r="G734" s="30" t="s">
        <v>39</v>
      </c>
      <c r="H734" s="27" t="s">
        <v>94</v>
      </c>
      <c r="I734" s="27" t="s">
        <v>49</v>
      </c>
      <c r="J734" s="27" t="s">
        <v>88</v>
      </c>
      <c r="K734" s="27" t="s">
        <v>73</v>
      </c>
      <c r="L734" s="31" t="s">
        <v>1525</v>
      </c>
      <c r="M734" s="32">
        <v>0.37</v>
      </c>
      <c r="N734" s="27" t="s">
        <v>33</v>
      </c>
      <c r="O734" s="27" t="s">
        <v>60</v>
      </c>
      <c r="P734" s="27" t="s">
        <v>146</v>
      </c>
      <c r="Q734" s="27" t="s">
        <v>1526</v>
      </c>
      <c r="R734" s="33">
        <v>84067</v>
      </c>
      <c r="S734" s="34">
        <v>42069</v>
      </c>
      <c r="T734" s="34">
        <v>42071</v>
      </c>
      <c r="U734" s="29">
        <v>-62.23</v>
      </c>
      <c r="V734" s="26">
        <v>8</v>
      </c>
      <c r="W734" s="29">
        <v>50.88</v>
      </c>
      <c r="X734" s="26">
        <v>86870</v>
      </c>
      <c r="Y734" s="35">
        <v>31.709999999999997</v>
      </c>
      <c r="Z734" s="1" t="s">
        <v>3013</v>
      </c>
      <c r="AA734" s="36">
        <v>4.6656000000000004</v>
      </c>
      <c r="AB734" s="54">
        <v>32.054400000000001</v>
      </c>
      <c r="AC734" s="54">
        <v>2.3532000000000002</v>
      </c>
      <c r="AD734" s="36">
        <v>101.5844</v>
      </c>
    </row>
    <row r="735" spans="1:30" s="37" customFormat="1" ht="15.75" customHeight="1" x14ac:dyDescent="0.2">
      <c r="A735" s="26">
        <v>3327</v>
      </c>
      <c r="B735" s="27" t="s">
        <v>1534</v>
      </c>
      <c r="C735" s="27" t="s">
        <v>3094</v>
      </c>
      <c r="D735" s="28">
        <v>0.05</v>
      </c>
      <c r="E735" s="29">
        <v>6.48</v>
      </c>
      <c r="F735" s="29">
        <v>6.86</v>
      </c>
      <c r="G735" s="30" t="s">
        <v>39</v>
      </c>
      <c r="H735" s="27" t="s">
        <v>3095</v>
      </c>
      <c r="I735" s="27" t="s">
        <v>49</v>
      </c>
      <c r="J735" s="27" t="s">
        <v>88</v>
      </c>
      <c r="K735" s="27" t="s">
        <v>73</v>
      </c>
      <c r="L735" s="31" t="s">
        <v>1525</v>
      </c>
      <c r="M735" s="32">
        <v>0.37</v>
      </c>
      <c r="N735" s="27" t="s">
        <v>33</v>
      </c>
      <c r="O735" s="27" t="s">
        <v>53</v>
      </c>
      <c r="P735" s="27" t="s">
        <v>289</v>
      </c>
      <c r="Q735" s="27" t="s">
        <v>1536</v>
      </c>
      <c r="R735" s="33">
        <v>48060</v>
      </c>
      <c r="S735" s="34">
        <v>42069</v>
      </c>
      <c r="T735" s="34">
        <v>42071</v>
      </c>
      <c r="U735" s="29">
        <v>-52.77</v>
      </c>
      <c r="V735" s="26">
        <v>4</v>
      </c>
      <c r="W735" s="29">
        <v>27.08</v>
      </c>
      <c r="X735" s="26">
        <v>87272</v>
      </c>
      <c r="Y735" s="35">
        <v>113.92</v>
      </c>
      <c r="Z735" s="1" t="s">
        <v>3012</v>
      </c>
      <c r="AA735" s="36">
        <v>1.2960000000000003</v>
      </c>
      <c r="AB735" s="54">
        <v>17.060399999999998</v>
      </c>
      <c r="AC735" s="54">
        <v>2.5048999999999997</v>
      </c>
      <c r="AD735" s="36">
        <v>71.694000000000003</v>
      </c>
    </row>
    <row r="736" spans="1:30" s="37" customFormat="1" ht="15.75" customHeight="1" x14ac:dyDescent="0.2">
      <c r="A736" s="26">
        <v>688</v>
      </c>
      <c r="B736" s="27" t="s">
        <v>1521</v>
      </c>
      <c r="C736" s="27" t="s">
        <v>48</v>
      </c>
      <c r="D736" s="28">
        <v>0.06</v>
      </c>
      <c r="E736" s="29">
        <v>4.18</v>
      </c>
      <c r="F736" s="29">
        <v>2.99</v>
      </c>
      <c r="G736" s="30" t="s">
        <v>39</v>
      </c>
      <c r="H736" s="27" t="s">
        <v>3095</v>
      </c>
      <c r="I736" s="27" t="s">
        <v>49</v>
      </c>
      <c r="J736" s="27" t="s">
        <v>72</v>
      </c>
      <c r="K736" s="27" t="s">
        <v>73</v>
      </c>
      <c r="L736" s="31" t="s">
        <v>1522</v>
      </c>
      <c r="M736" s="32">
        <v>0.37</v>
      </c>
      <c r="N736" s="27" t="s">
        <v>33</v>
      </c>
      <c r="O736" s="27" t="s">
        <v>53</v>
      </c>
      <c r="P736" s="27" t="s">
        <v>80</v>
      </c>
      <c r="Q736" s="27" t="s">
        <v>1523</v>
      </c>
      <c r="R736" s="33">
        <v>63116</v>
      </c>
      <c r="S736" s="34">
        <v>42069</v>
      </c>
      <c r="T736" s="34">
        <v>42071</v>
      </c>
      <c r="U736" s="29">
        <v>-12.718999999999999</v>
      </c>
      <c r="V736" s="26">
        <v>5</v>
      </c>
      <c r="W736" s="29">
        <v>21.34</v>
      </c>
      <c r="X736" s="26">
        <v>88504</v>
      </c>
      <c r="Y736" s="35">
        <v>6.4300000000000006</v>
      </c>
      <c r="Z736" s="1" t="s">
        <v>3012</v>
      </c>
      <c r="AA736" s="36">
        <v>1.2539999999999998</v>
      </c>
      <c r="AB736" s="54">
        <v>13.4442</v>
      </c>
      <c r="AC736" s="54">
        <v>1.5791599999999999</v>
      </c>
      <c r="AD736" s="36">
        <v>29.814999999999998</v>
      </c>
    </row>
    <row r="737" spans="1:30" s="37" customFormat="1" ht="15.75" customHeight="1" x14ac:dyDescent="0.2">
      <c r="A737" s="26">
        <v>1020</v>
      </c>
      <c r="B737" s="27" t="s">
        <v>1018</v>
      </c>
      <c r="C737" s="27" t="s">
        <v>26</v>
      </c>
      <c r="D737" s="28">
        <v>0.09</v>
      </c>
      <c r="E737" s="29">
        <v>517.48</v>
      </c>
      <c r="F737" s="29">
        <v>16.63</v>
      </c>
      <c r="G737" s="30" t="s">
        <v>27</v>
      </c>
      <c r="H737" s="27" t="s">
        <v>3095</v>
      </c>
      <c r="I737" s="27" t="s">
        <v>41</v>
      </c>
      <c r="J737" s="27" t="s">
        <v>57</v>
      </c>
      <c r="K737" s="27" t="s">
        <v>31</v>
      </c>
      <c r="L737" s="31" t="s">
        <v>1537</v>
      </c>
      <c r="M737" s="32">
        <v>0.59</v>
      </c>
      <c r="N737" s="27" t="s">
        <v>33</v>
      </c>
      <c r="O737" s="27" t="s">
        <v>53</v>
      </c>
      <c r="P737" s="27" t="s">
        <v>537</v>
      </c>
      <c r="Q737" s="27" t="s">
        <v>1020</v>
      </c>
      <c r="R737" s="33">
        <v>66762</v>
      </c>
      <c r="S737" s="34">
        <v>42070</v>
      </c>
      <c r="T737" s="34">
        <v>42070</v>
      </c>
      <c r="U737" s="29">
        <v>909.36</v>
      </c>
      <c r="V737" s="26">
        <v>5</v>
      </c>
      <c r="W737" s="29">
        <v>2354.54</v>
      </c>
      <c r="X737" s="26">
        <v>88632</v>
      </c>
      <c r="Y737" s="35">
        <v>517.39</v>
      </c>
      <c r="Z737" s="1" t="s">
        <v>3012</v>
      </c>
      <c r="AA737" s="36">
        <v>232.86599999999999</v>
      </c>
      <c r="AB737" s="54">
        <v>965.3614</v>
      </c>
      <c r="AC737" s="54">
        <v>277.83571999999998</v>
      </c>
      <c r="AD737" s="36">
        <v>1195.684</v>
      </c>
    </row>
    <row r="738" spans="1:30" s="37" customFormat="1" ht="15.75" customHeight="1" x14ac:dyDescent="0.2">
      <c r="A738" s="26">
        <v>851</v>
      </c>
      <c r="B738" s="27" t="s">
        <v>1364</v>
      </c>
      <c r="C738" s="27" t="s">
        <v>3094</v>
      </c>
      <c r="D738" s="28">
        <v>0.08</v>
      </c>
      <c r="E738" s="29">
        <v>19.899999999999999</v>
      </c>
      <c r="F738" s="29">
        <v>5.29</v>
      </c>
      <c r="G738" s="30" t="s">
        <v>39</v>
      </c>
      <c r="H738" s="27" t="s">
        <v>94</v>
      </c>
      <c r="I738" s="27" t="s">
        <v>49</v>
      </c>
      <c r="J738" s="27" t="s">
        <v>95</v>
      </c>
      <c r="K738" s="27" t="s">
        <v>144</v>
      </c>
      <c r="L738" s="31" t="s">
        <v>1541</v>
      </c>
      <c r="M738" s="32">
        <v>0.4</v>
      </c>
      <c r="N738" s="27" t="s">
        <v>33</v>
      </c>
      <c r="O738" s="27" t="s">
        <v>60</v>
      </c>
      <c r="P738" s="27" t="s">
        <v>90</v>
      </c>
      <c r="Q738" s="27" t="s">
        <v>1366</v>
      </c>
      <c r="R738" s="33">
        <v>91745</v>
      </c>
      <c r="S738" s="34">
        <v>42070</v>
      </c>
      <c r="T738" s="34">
        <v>42072</v>
      </c>
      <c r="U738" s="29">
        <v>107.11</v>
      </c>
      <c r="V738" s="26">
        <v>13</v>
      </c>
      <c r="W738" s="29">
        <v>240.46</v>
      </c>
      <c r="X738" s="26">
        <v>88569</v>
      </c>
      <c r="Y738" s="35">
        <v>6.01</v>
      </c>
      <c r="Z738" s="1" t="s">
        <v>3013</v>
      </c>
      <c r="AA738" s="36">
        <v>20.695999999999998</v>
      </c>
      <c r="AB738" s="54">
        <v>144.27600000000001</v>
      </c>
      <c r="AC738" s="54">
        <v>7.3987692307692319</v>
      </c>
      <c r="AD738" s="36">
        <v>107.364</v>
      </c>
    </row>
    <row r="739" spans="1:30" s="37" customFormat="1" ht="15.75" customHeight="1" x14ac:dyDescent="0.2">
      <c r="A739" s="26">
        <v>851</v>
      </c>
      <c r="B739" s="27" t="s">
        <v>1364</v>
      </c>
      <c r="C739" s="27" t="s">
        <v>3094</v>
      </c>
      <c r="D739" s="28">
        <v>0.02</v>
      </c>
      <c r="E739" s="29">
        <v>3.36</v>
      </c>
      <c r="F739" s="29">
        <v>6.27</v>
      </c>
      <c r="G739" s="30" t="s">
        <v>39</v>
      </c>
      <c r="H739" s="27" t="s">
        <v>94</v>
      </c>
      <c r="I739" s="27" t="s">
        <v>49</v>
      </c>
      <c r="J739" s="27" t="s">
        <v>72</v>
      </c>
      <c r="K739" s="27" t="s">
        <v>73</v>
      </c>
      <c r="L739" s="31" t="s">
        <v>186</v>
      </c>
      <c r="M739" s="32">
        <v>0.4</v>
      </c>
      <c r="N739" s="27" t="s">
        <v>33</v>
      </c>
      <c r="O739" s="27" t="s">
        <v>60</v>
      </c>
      <c r="P739" s="27" t="s">
        <v>90</v>
      </c>
      <c r="Q739" s="27" t="s">
        <v>1366</v>
      </c>
      <c r="R739" s="33">
        <v>91745</v>
      </c>
      <c r="S739" s="34">
        <v>42070</v>
      </c>
      <c r="T739" s="34">
        <v>42072</v>
      </c>
      <c r="U739" s="29">
        <v>-216.154</v>
      </c>
      <c r="V739" s="26">
        <v>21</v>
      </c>
      <c r="W739" s="29">
        <v>74.08</v>
      </c>
      <c r="X739" s="26">
        <v>88569</v>
      </c>
      <c r="Y739" s="35">
        <v>19.82</v>
      </c>
      <c r="Z739" s="1" t="s">
        <v>3013</v>
      </c>
      <c r="AA739" s="36">
        <v>1.4112</v>
      </c>
      <c r="AB739" s="54">
        <v>44.448</v>
      </c>
      <c r="AC739" s="54">
        <v>1.4110476190476191</v>
      </c>
      <c r="AD739" s="36">
        <v>282.55279999999999</v>
      </c>
    </row>
    <row r="740" spans="1:30" s="37" customFormat="1" ht="15.75" customHeight="1" x14ac:dyDescent="0.2">
      <c r="A740" s="26">
        <v>850</v>
      </c>
      <c r="B740" s="27" t="s">
        <v>1538</v>
      </c>
      <c r="C740" s="27" t="s">
        <v>3094</v>
      </c>
      <c r="D740" s="28">
        <v>7.0000000000000007E-2</v>
      </c>
      <c r="E740" s="29">
        <v>6.08</v>
      </c>
      <c r="F740" s="29">
        <v>0.91</v>
      </c>
      <c r="G740" s="30" t="s">
        <v>39</v>
      </c>
      <c r="H740" s="27" t="s">
        <v>94</v>
      </c>
      <c r="I740" s="27" t="s">
        <v>49</v>
      </c>
      <c r="J740" s="27" t="s">
        <v>50</v>
      </c>
      <c r="K740" s="27" t="s">
        <v>51</v>
      </c>
      <c r="L740" s="31" t="s">
        <v>1539</v>
      </c>
      <c r="M740" s="32">
        <v>0.51</v>
      </c>
      <c r="N740" s="27" t="s">
        <v>33</v>
      </c>
      <c r="O740" s="27" t="s">
        <v>60</v>
      </c>
      <c r="P740" s="27" t="s">
        <v>90</v>
      </c>
      <c r="Q740" s="27" t="s">
        <v>1540</v>
      </c>
      <c r="R740" s="33">
        <v>93117</v>
      </c>
      <c r="S740" s="34">
        <v>42070</v>
      </c>
      <c r="T740" s="34">
        <v>42071</v>
      </c>
      <c r="U740" s="29">
        <v>19.57</v>
      </c>
      <c r="V740" s="26">
        <v>7</v>
      </c>
      <c r="W740" s="29">
        <v>41.96</v>
      </c>
      <c r="X740" s="26">
        <v>88569</v>
      </c>
      <c r="Y740" s="35">
        <v>3.34</v>
      </c>
      <c r="Z740" s="1" t="s">
        <v>3013</v>
      </c>
      <c r="AA740" s="36">
        <v>2.9792000000000001</v>
      </c>
      <c r="AB740" s="54">
        <v>20.560400000000001</v>
      </c>
      <c r="AC740" s="54">
        <v>3.0570857142857144</v>
      </c>
      <c r="AD740" s="36">
        <v>18.500800000000002</v>
      </c>
    </row>
    <row r="741" spans="1:30" s="37" customFormat="1" ht="15.75" customHeight="1" x14ac:dyDescent="0.2">
      <c r="A741" s="26">
        <v>693</v>
      </c>
      <c r="B741" s="27" t="s">
        <v>1549</v>
      </c>
      <c r="C741" s="27" t="s">
        <v>48</v>
      </c>
      <c r="D741" s="28">
        <v>0.06</v>
      </c>
      <c r="E741" s="29">
        <v>205.99</v>
      </c>
      <c r="F741" s="29">
        <v>5.26</v>
      </c>
      <c r="G741" s="30" t="s">
        <v>39</v>
      </c>
      <c r="H741" s="27" t="s">
        <v>3095</v>
      </c>
      <c r="I741" s="27" t="s">
        <v>41</v>
      </c>
      <c r="J741" s="27" t="s">
        <v>135</v>
      </c>
      <c r="K741" s="27" t="s">
        <v>73</v>
      </c>
      <c r="L741" s="31" t="s">
        <v>1552</v>
      </c>
      <c r="M741" s="32">
        <v>0.56000000000000005</v>
      </c>
      <c r="N741" s="27" t="s">
        <v>33</v>
      </c>
      <c r="O741" s="27" t="s">
        <v>60</v>
      </c>
      <c r="P741" s="27" t="s">
        <v>61</v>
      </c>
      <c r="Q741" s="27" t="s">
        <v>1550</v>
      </c>
      <c r="R741" s="33">
        <v>80229</v>
      </c>
      <c r="S741" s="34">
        <v>42071</v>
      </c>
      <c r="T741" s="34">
        <v>42078</v>
      </c>
      <c r="U741" s="29">
        <v>890.18100000000004</v>
      </c>
      <c r="V741" s="26">
        <v>11</v>
      </c>
      <c r="W741" s="29">
        <v>1882.87</v>
      </c>
      <c r="X741" s="26">
        <v>87812</v>
      </c>
      <c r="Y741" s="35">
        <v>161.53</v>
      </c>
      <c r="Z741" s="1" t="s">
        <v>3013</v>
      </c>
      <c r="AA741" s="36">
        <v>135.95340000000002</v>
      </c>
      <c r="AB741" s="54">
        <v>828.4627999999999</v>
      </c>
      <c r="AC741" s="54">
        <v>95.855199999999996</v>
      </c>
      <c r="AD741" s="36">
        <v>851.47559999999976</v>
      </c>
    </row>
    <row r="742" spans="1:30" s="37" customFormat="1" ht="15.75" customHeight="1" x14ac:dyDescent="0.2">
      <c r="A742" s="26">
        <v>1718</v>
      </c>
      <c r="B742" s="27" t="s">
        <v>1553</v>
      </c>
      <c r="C742" s="27" t="s">
        <v>48</v>
      </c>
      <c r="D742" s="28">
        <v>0.01</v>
      </c>
      <c r="E742" s="29">
        <v>300.98</v>
      </c>
      <c r="F742" s="29">
        <v>64.73</v>
      </c>
      <c r="G742" s="30" t="s">
        <v>27</v>
      </c>
      <c r="H742" s="27" t="s">
        <v>40</v>
      </c>
      <c r="I742" s="27" t="s">
        <v>29</v>
      </c>
      <c r="J742" s="27" t="s">
        <v>109</v>
      </c>
      <c r="K742" s="27" t="s">
        <v>58</v>
      </c>
      <c r="L742" s="31" t="s">
        <v>1340</v>
      </c>
      <c r="M742" s="32">
        <v>0.56000000000000005</v>
      </c>
      <c r="N742" s="27" t="s">
        <v>33</v>
      </c>
      <c r="O742" s="27" t="s">
        <v>34</v>
      </c>
      <c r="P742" s="27" t="s">
        <v>97</v>
      </c>
      <c r="Q742" s="27" t="s">
        <v>1554</v>
      </c>
      <c r="R742" s="33">
        <v>27529</v>
      </c>
      <c r="S742" s="34">
        <v>42071</v>
      </c>
      <c r="T742" s="34">
        <v>42078</v>
      </c>
      <c r="U742" s="29">
        <v>-48.874000000000002</v>
      </c>
      <c r="V742" s="26">
        <v>3</v>
      </c>
      <c r="W742" s="29">
        <v>974.14</v>
      </c>
      <c r="X742" s="26">
        <v>90621</v>
      </c>
      <c r="Y742" s="35">
        <v>11.530000000000001</v>
      </c>
      <c r="Z742" s="1" t="s">
        <v>3011</v>
      </c>
      <c r="AA742" s="36">
        <v>9.0294000000000008</v>
      </c>
      <c r="AB742" s="54">
        <v>428.62159999999994</v>
      </c>
      <c r="AC742" s="54">
        <v>181.83946666666668</v>
      </c>
      <c r="AD742" s="36">
        <v>949.25459999999998</v>
      </c>
    </row>
    <row r="743" spans="1:30" s="37" customFormat="1" ht="15.75" customHeight="1" x14ac:dyDescent="0.2">
      <c r="A743" s="26">
        <v>693</v>
      </c>
      <c r="B743" s="27" t="s">
        <v>1549</v>
      </c>
      <c r="C743" s="27" t="s">
        <v>48</v>
      </c>
      <c r="D743" s="28">
        <v>7.0000000000000007E-2</v>
      </c>
      <c r="E743" s="29">
        <v>140.97999999999999</v>
      </c>
      <c r="F743" s="29">
        <v>53.48</v>
      </c>
      <c r="G743" s="30" t="s">
        <v>27</v>
      </c>
      <c r="H743" s="27" t="s">
        <v>3095</v>
      </c>
      <c r="I743" s="27" t="s">
        <v>29</v>
      </c>
      <c r="J743" s="27" t="s">
        <v>117</v>
      </c>
      <c r="K743" s="27" t="s">
        <v>31</v>
      </c>
      <c r="L743" s="31" t="s">
        <v>1551</v>
      </c>
      <c r="M743" s="32">
        <v>0.65</v>
      </c>
      <c r="N743" s="27" t="s">
        <v>33</v>
      </c>
      <c r="O743" s="27" t="s">
        <v>60</v>
      </c>
      <c r="P743" s="27" t="s">
        <v>61</v>
      </c>
      <c r="Q743" s="27" t="s">
        <v>1550</v>
      </c>
      <c r="R743" s="33">
        <v>80229</v>
      </c>
      <c r="S743" s="34">
        <v>42071</v>
      </c>
      <c r="T743" s="34">
        <v>42078</v>
      </c>
      <c r="U743" s="29">
        <v>-263.64999999999998</v>
      </c>
      <c r="V743" s="26">
        <v>5</v>
      </c>
      <c r="W743" s="29">
        <v>734.74</v>
      </c>
      <c r="X743" s="26">
        <v>87812</v>
      </c>
      <c r="Y743" s="35">
        <v>51.91</v>
      </c>
      <c r="Z743" s="1" t="s">
        <v>3013</v>
      </c>
      <c r="AA743" s="36">
        <v>49.343000000000004</v>
      </c>
      <c r="AB743" s="54">
        <v>257.15899999999999</v>
      </c>
      <c r="AC743" s="54">
        <v>95.516200000000012</v>
      </c>
      <c r="AD743" s="36">
        <v>895.56700000000001</v>
      </c>
    </row>
    <row r="744" spans="1:30" s="37" customFormat="1" ht="15.75" customHeight="1" x14ac:dyDescent="0.2">
      <c r="A744" s="26">
        <v>2750</v>
      </c>
      <c r="B744" s="27" t="s">
        <v>1542</v>
      </c>
      <c r="C744" s="27" t="s">
        <v>26</v>
      </c>
      <c r="D744" s="28">
        <v>0.02</v>
      </c>
      <c r="E744" s="29">
        <v>161.55000000000001</v>
      </c>
      <c r="F744" s="29">
        <v>19.989999999999998</v>
      </c>
      <c r="G744" s="30" t="s">
        <v>39</v>
      </c>
      <c r="H744" s="27" t="s">
        <v>3095</v>
      </c>
      <c r="I744" s="27" t="s">
        <v>49</v>
      </c>
      <c r="J744" s="27" t="s">
        <v>78</v>
      </c>
      <c r="K744" s="27" t="s">
        <v>73</v>
      </c>
      <c r="L744" s="31" t="s">
        <v>79</v>
      </c>
      <c r="M744" s="32">
        <v>0.66</v>
      </c>
      <c r="N744" s="27" t="s">
        <v>33</v>
      </c>
      <c r="O744" s="27" t="s">
        <v>34</v>
      </c>
      <c r="P744" s="27" t="s">
        <v>242</v>
      </c>
      <c r="Q744" s="27" t="s">
        <v>1543</v>
      </c>
      <c r="R744" s="33">
        <v>22980</v>
      </c>
      <c r="S744" s="34">
        <v>42071</v>
      </c>
      <c r="T744" s="34">
        <v>42071</v>
      </c>
      <c r="U744" s="29">
        <v>664.51800000000003</v>
      </c>
      <c r="V744" s="26">
        <v>4</v>
      </c>
      <c r="W744" s="29">
        <v>657.61</v>
      </c>
      <c r="X744" s="26">
        <v>91424</v>
      </c>
      <c r="Y744" s="35">
        <v>80.87</v>
      </c>
      <c r="Z744" s="1" t="s">
        <v>3011</v>
      </c>
      <c r="AA744" s="36">
        <v>12.924000000000001</v>
      </c>
      <c r="AB744" s="54">
        <v>223.58739999999997</v>
      </c>
      <c r="AC744" s="54">
        <v>108.50565</v>
      </c>
      <c r="AD744" s="36">
        <v>-39.822000000000003</v>
      </c>
    </row>
    <row r="745" spans="1:30" s="37" customFormat="1" ht="15.75" customHeight="1" x14ac:dyDescent="0.2">
      <c r="A745" s="26">
        <v>2837</v>
      </c>
      <c r="B745" s="27" t="s">
        <v>1546</v>
      </c>
      <c r="C745" s="27" t="s">
        <v>38</v>
      </c>
      <c r="D745" s="28">
        <v>7.0000000000000007E-2</v>
      </c>
      <c r="E745" s="29">
        <v>51.98</v>
      </c>
      <c r="F745" s="29">
        <v>10.17</v>
      </c>
      <c r="G745" s="30" t="s">
        <v>39</v>
      </c>
      <c r="H745" s="27" t="s">
        <v>71</v>
      </c>
      <c r="I745" s="27" t="s">
        <v>41</v>
      </c>
      <c r="J745" s="27" t="s">
        <v>57</v>
      </c>
      <c r="K745" s="27" t="s">
        <v>144</v>
      </c>
      <c r="L745" s="31" t="s">
        <v>1547</v>
      </c>
      <c r="M745" s="32">
        <v>0.37</v>
      </c>
      <c r="N745" s="27" t="s">
        <v>33</v>
      </c>
      <c r="O745" s="27" t="s">
        <v>53</v>
      </c>
      <c r="P745" s="27" t="s">
        <v>207</v>
      </c>
      <c r="Q745" s="27" t="s">
        <v>1548</v>
      </c>
      <c r="R745" s="33">
        <v>74133</v>
      </c>
      <c r="S745" s="34">
        <v>42071</v>
      </c>
      <c r="T745" s="34">
        <v>42073</v>
      </c>
      <c r="U745" s="29">
        <v>439.78530000000001</v>
      </c>
      <c r="V745" s="26">
        <v>13</v>
      </c>
      <c r="W745" s="29">
        <v>637.37</v>
      </c>
      <c r="X745" s="26">
        <v>89801</v>
      </c>
      <c r="Y745" s="35">
        <v>5.25</v>
      </c>
      <c r="Z745" s="1" t="s">
        <v>3012</v>
      </c>
      <c r="AA745" s="36">
        <v>47.3018</v>
      </c>
      <c r="AB745" s="54">
        <v>401.54309999999998</v>
      </c>
      <c r="AC745" s="54">
        <v>18.140530769230772</v>
      </c>
      <c r="AD745" s="36">
        <v>140.11289999999997</v>
      </c>
    </row>
    <row r="746" spans="1:30" s="37" customFormat="1" ht="15.75" customHeight="1" x14ac:dyDescent="0.2">
      <c r="A746" s="26">
        <v>2837</v>
      </c>
      <c r="B746" s="27" t="s">
        <v>1546</v>
      </c>
      <c r="C746" s="27" t="s">
        <v>38</v>
      </c>
      <c r="D746" s="28">
        <v>0.1</v>
      </c>
      <c r="E746" s="29">
        <v>80.97</v>
      </c>
      <c r="F746" s="29">
        <v>33.6</v>
      </c>
      <c r="G746" s="30" t="s">
        <v>27</v>
      </c>
      <c r="H746" s="27" t="s">
        <v>71</v>
      </c>
      <c r="I746" s="27" t="s">
        <v>41</v>
      </c>
      <c r="J746" s="27" t="s">
        <v>57</v>
      </c>
      <c r="K746" s="27" t="s">
        <v>58</v>
      </c>
      <c r="L746" s="31" t="s">
        <v>909</v>
      </c>
      <c r="M746" s="32">
        <v>0.37</v>
      </c>
      <c r="N746" s="27" t="s">
        <v>33</v>
      </c>
      <c r="O746" s="27" t="s">
        <v>53</v>
      </c>
      <c r="P746" s="27" t="s">
        <v>207</v>
      </c>
      <c r="Q746" s="27" t="s">
        <v>1548</v>
      </c>
      <c r="R746" s="33">
        <v>74133</v>
      </c>
      <c r="S746" s="34">
        <v>42071</v>
      </c>
      <c r="T746" s="34">
        <v>42074</v>
      </c>
      <c r="U746" s="29">
        <v>-149.4573</v>
      </c>
      <c r="V746" s="26">
        <v>3</v>
      </c>
      <c r="W746" s="29">
        <v>232.16</v>
      </c>
      <c r="X746" s="26">
        <v>89801</v>
      </c>
      <c r="Y746" s="35">
        <v>140.91</v>
      </c>
      <c r="Z746" s="1" t="s">
        <v>3012</v>
      </c>
      <c r="AA746" s="36">
        <v>24.290999999999997</v>
      </c>
      <c r="AB746" s="54">
        <v>146.26079999999999</v>
      </c>
      <c r="AC746" s="54">
        <v>28.633066666666668</v>
      </c>
      <c r="AD746" s="36">
        <v>323.72630000000004</v>
      </c>
    </row>
    <row r="747" spans="1:30" s="37" customFormat="1" ht="15.75" customHeight="1" x14ac:dyDescent="0.2">
      <c r="A747" s="26">
        <v>2770</v>
      </c>
      <c r="B747" s="27" t="s">
        <v>1544</v>
      </c>
      <c r="C747" s="27" t="s">
        <v>26</v>
      </c>
      <c r="D747" s="28">
        <v>0.02</v>
      </c>
      <c r="E747" s="29">
        <v>11.55</v>
      </c>
      <c r="F747" s="29">
        <v>2.36</v>
      </c>
      <c r="G747" s="30" t="s">
        <v>39</v>
      </c>
      <c r="H747" s="27" t="s">
        <v>94</v>
      </c>
      <c r="I747" s="27" t="s">
        <v>49</v>
      </c>
      <c r="J747" s="27" t="s">
        <v>50</v>
      </c>
      <c r="K747" s="27" t="s">
        <v>51</v>
      </c>
      <c r="L747" s="31" t="s">
        <v>380</v>
      </c>
      <c r="M747" s="32">
        <v>0.55000000000000004</v>
      </c>
      <c r="N747" s="27" t="s">
        <v>33</v>
      </c>
      <c r="O747" s="27" t="s">
        <v>34</v>
      </c>
      <c r="P747" s="27" t="s">
        <v>75</v>
      </c>
      <c r="Q747" s="27" t="s">
        <v>1545</v>
      </c>
      <c r="R747" s="33">
        <v>30338</v>
      </c>
      <c r="S747" s="34">
        <v>42071</v>
      </c>
      <c r="T747" s="34">
        <v>42073</v>
      </c>
      <c r="U747" s="29">
        <v>1289.3820000000001</v>
      </c>
      <c r="V747" s="26">
        <v>14</v>
      </c>
      <c r="W747" s="29">
        <v>159.53</v>
      </c>
      <c r="X747" s="26">
        <v>88975</v>
      </c>
      <c r="Y747" s="35">
        <v>205.93</v>
      </c>
      <c r="Z747" s="1" t="s">
        <v>3011</v>
      </c>
      <c r="AA747" s="36">
        <v>3.234</v>
      </c>
      <c r="AB747" s="54">
        <v>71.788499999999999</v>
      </c>
      <c r="AC747" s="54">
        <v>6.2672500000000007</v>
      </c>
      <c r="AD747" s="36">
        <v>-1135.4459999999999</v>
      </c>
    </row>
    <row r="748" spans="1:30" s="37" customFormat="1" ht="15.75" customHeight="1" x14ac:dyDescent="0.2">
      <c r="A748" s="26">
        <v>693</v>
      </c>
      <c r="B748" s="27" t="s">
        <v>1549</v>
      </c>
      <c r="C748" s="27" t="s">
        <v>48</v>
      </c>
      <c r="D748" s="28">
        <v>0.09</v>
      </c>
      <c r="E748" s="29">
        <v>5.34</v>
      </c>
      <c r="F748" s="29">
        <v>2.99</v>
      </c>
      <c r="G748" s="30" t="s">
        <v>87</v>
      </c>
      <c r="H748" s="27" t="s">
        <v>3095</v>
      </c>
      <c r="I748" s="27" t="s">
        <v>49</v>
      </c>
      <c r="J748" s="27" t="s">
        <v>72</v>
      </c>
      <c r="K748" s="27" t="s">
        <v>73</v>
      </c>
      <c r="L748" s="31" t="s">
        <v>1378</v>
      </c>
      <c r="M748" s="32">
        <v>0.38</v>
      </c>
      <c r="N748" s="27" t="s">
        <v>33</v>
      </c>
      <c r="O748" s="27" t="s">
        <v>60</v>
      </c>
      <c r="P748" s="27" t="s">
        <v>61</v>
      </c>
      <c r="Q748" s="27" t="s">
        <v>1550</v>
      </c>
      <c r="R748" s="33">
        <v>80229</v>
      </c>
      <c r="S748" s="34">
        <v>42071</v>
      </c>
      <c r="T748" s="34">
        <v>42078</v>
      </c>
      <c r="U748" s="29">
        <v>9.4860000000000007</v>
      </c>
      <c r="V748" s="26">
        <v>17</v>
      </c>
      <c r="W748" s="29">
        <v>95.1</v>
      </c>
      <c r="X748" s="26">
        <v>87812</v>
      </c>
      <c r="Y748" s="35">
        <v>300.97000000000003</v>
      </c>
      <c r="Z748" s="1" t="s">
        <v>3013</v>
      </c>
      <c r="AA748" s="36">
        <v>8.1701999999999995</v>
      </c>
      <c r="AB748" s="54">
        <v>58.961999999999996</v>
      </c>
      <c r="AC748" s="54">
        <v>2.1257647058823528</v>
      </c>
      <c r="AD748" s="36">
        <v>74.453800000000001</v>
      </c>
    </row>
    <row r="749" spans="1:30" s="37" customFormat="1" ht="15.75" customHeight="1" x14ac:dyDescent="0.2">
      <c r="A749" s="26">
        <v>2258</v>
      </c>
      <c r="B749" s="27" t="s">
        <v>1557</v>
      </c>
      <c r="C749" s="27" t="s">
        <v>48</v>
      </c>
      <c r="D749" s="28">
        <v>7.0000000000000007E-2</v>
      </c>
      <c r="E749" s="29">
        <v>400.97</v>
      </c>
      <c r="F749" s="29">
        <v>48.26</v>
      </c>
      <c r="G749" s="30" t="s">
        <v>27</v>
      </c>
      <c r="H749" s="27" t="s">
        <v>94</v>
      </c>
      <c r="I749" s="27" t="s">
        <v>41</v>
      </c>
      <c r="J749" s="27" t="s">
        <v>57</v>
      </c>
      <c r="K749" s="27" t="s">
        <v>31</v>
      </c>
      <c r="L749" s="31" t="s">
        <v>1560</v>
      </c>
      <c r="M749" s="32">
        <v>0.36</v>
      </c>
      <c r="N749" s="27" t="s">
        <v>33</v>
      </c>
      <c r="O749" s="27" t="s">
        <v>34</v>
      </c>
      <c r="P749" s="27" t="s">
        <v>97</v>
      </c>
      <c r="Q749" s="27" t="s">
        <v>1559</v>
      </c>
      <c r="R749" s="33">
        <v>27801</v>
      </c>
      <c r="S749" s="34">
        <v>42072</v>
      </c>
      <c r="T749" s="34">
        <v>42076</v>
      </c>
      <c r="U749" s="29">
        <v>45.127800000000001</v>
      </c>
      <c r="V749" s="26">
        <v>8</v>
      </c>
      <c r="W749" s="29">
        <v>2961.32</v>
      </c>
      <c r="X749" s="26">
        <v>87962</v>
      </c>
      <c r="Y749" s="35">
        <v>19.190000000000001</v>
      </c>
      <c r="Z749" s="1" t="s">
        <v>3011</v>
      </c>
      <c r="AA749" s="36">
        <v>224.54320000000004</v>
      </c>
      <c r="AB749" s="54">
        <v>1895.2448000000002</v>
      </c>
      <c r="AC749" s="54">
        <v>133.2594</v>
      </c>
      <c r="AD749" s="36">
        <v>2643.3890000000001</v>
      </c>
    </row>
    <row r="750" spans="1:30" s="37" customFormat="1" ht="15.75" customHeight="1" x14ac:dyDescent="0.2">
      <c r="A750" s="26">
        <v>1075</v>
      </c>
      <c r="B750" s="27" t="s">
        <v>1555</v>
      </c>
      <c r="C750" s="27" t="s">
        <v>38</v>
      </c>
      <c r="D750" s="28">
        <v>0.04</v>
      </c>
      <c r="E750" s="29">
        <v>19.23</v>
      </c>
      <c r="F750" s="29">
        <v>6.15</v>
      </c>
      <c r="G750" s="30" t="s">
        <v>39</v>
      </c>
      <c r="H750" s="27" t="s">
        <v>71</v>
      </c>
      <c r="I750" s="27" t="s">
        <v>29</v>
      </c>
      <c r="J750" s="27" t="s">
        <v>126</v>
      </c>
      <c r="K750" s="27" t="s">
        <v>43</v>
      </c>
      <c r="L750" s="31" t="s">
        <v>1277</v>
      </c>
      <c r="M750" s="32">
        <v>0.44</v>
      </c>
      <c r="N750" s="27" t="s">
        <v>33</v>
      </c>
      <c r="O750" s="27" t="s">
        <v>53</v>
      </c>
      <c r="P750" s="27" t="s">
        <v>103</v>
      </c>
      <c r="Q750" s="27" t="s">
        <v>1556</v>
      </c>
      <c r="R750" s="33">
        <v>60441</v>
      </c>
      <c r="S750" s="34">
        <v>42072</v>
      </c>
      <c r="T750" s="34">
        <v>42073</v>
      </c>
      <c r="U750" s="29">
        <v>152.4348</v>
      </c>
      <c r="V750" s="26">
        <v>11</v>
      </c>
      <c r="W750" s="29">
        <v>220.92</v>
      </c>
      <c r="X750" s="26">
        <v>86422</v>
      </c>
      <c r="Y750" s="35">
        <v>7.63</v>
      </c>
      <c r="Z750" s="1" t="s">
        <v>3012</v>
      </c>
      <c r="AA750" s="36">
        <v>8.4611999999999998</v>
      </c>
      <c r="AB750" s="54">
        <v>123.71520000000001</v>
      </c>
      <c r="AC750" s="54">
        <v>8.8368000000000002</v>
      </c>
      <c r="AD750" s="36">
        <v>53.873999999999995</v>
      </c>
    </row>
    <row r="751" spans="1:30" s="37" customFormat="1" ht="15.75" customHeight="1" x14ac:dyDescent="0.2">
      <c r="A751" s="26">
        <v>2258</v>
      </c>
      <c r="B751" s="27" t="s">
        <v>1557</v>
      </c>
      <c r="C751" s="27" t="s">
        <v>48</v>
      </c>
      <c r="D751" s="28">
        <v>0.01</v>
      </c>
      <c r="E751" s="29">
        <v>7.64</v>
      </c>
      <c r="F751" s="29">
        <v>1.39</v>
      </c>
      <c r="G751" s="30" t="s">
        <v>87</v>
      </c>
      <c r="H751" s="27" t="s">
        <v>94</v>
      </c>
      <c r="I751" s="27" t="s">
        <v>49</v>
      </c>
      <c r="J751" s="27" t="s">
        <v>345</v>
      </c>
      <c r="K751" s="27" t="s">
        <v>73</v>
      </c>
      <c r="L751" s="31" t="s">
        <v>1558</v>
      </c>
      <c r="M751" s="32">
        <v>0.36</v>
      </c>
      <c r="N751" s="27" t="s">
        <v>33</v>
      </c>
      <c r="O751" s="27" t="s">
        <v>34</v>
      </c>
      <c r="P751" s="27" t="s">
        <v>97</v>
      </c>
      <c r="Q751" s="27" t="s">
        <v>1559</v>
      </c>
      <c r="R751" s="33">
        <v>27801</v>
      </c>
      <c r="S751" s="34">
        <v>42072</v>
      </c>
      <c r="T751" s="34">
        <v>42076</v>
      </c>
      <c r="U751" s="29">
        <v>-1676.6120000000001</v>
      </c>
      <c r="V751" s="26">
        <v>9</v>
      </c>
      <c r="W751" s="29">
        <v>73.290000000000006</v>
      </c>
      <c r="X751" s="26">
        <v>87962</v>
      </c>
      <c r="Y751" s="35">
        <v>400.90000000000003</v>
      </c>
      <c r="Z751" s="1" t="s">
        <v>3011</v>
      </c>
      <c r="AA751" s="36">
        <v>0.68759999999999999</v>
      </c>
      <c r="AB751" s="54">
        <v>46.905600000000007</v>
      </c>
      <c r="AC751" s="54">
        <v>2.9316000000000004</v>
      </c>
      <c r="AD751" s="36">
        <v>1747.8244</v>
      </c>
    </row>
    <row r="752" spans="1:30" s="37" customFormat="1" ht="15.75" customHeight="1" x14ac:dyDescent="0.2">
      <c r="A752" s="26">
        <v>2855</v>
      </c>
      <c r="B752" s="27" t="s">
        <v>678</v>
      </c>
      <c r="C752" s="27" t="s">
        <v>48</v>
      </c>
      <c r="D752" s="28">
        <v>0.09</v>
      </c>
      <c r="E752" s="29">
        <v>6783.02</v>
      </c>
      <c r="F752" s="29">
        <v>24.49</v>
      </c>
      <c r="G752" s="30" t="s">
        <v>39</v>
      </c>
      <c r="H752" s="27" t="s">
        <v>40</v>
      </c>
      <c r="I752" s="27" t="s">
        <v>41</v>
      </c>
      <c r="J752" s="27" t="s">
        <v>57</v>
      </c>
      <c r="K752" s="27" t="s">
        <v>65</v>
      </c>
      <c r="L752" s="31" t="s">
        <v>314</v>
      </c>
      <c r="M752" s="32">
        <v>0.39</v>
      </c>
      <c r="N752" s="27" t="s">
        <v>33</v>
      </c>
      <c r="O752" s="27" t="s">
        <v>60</v>
      </c>
      <c r="P752" s="27" t="s">
        <v>67</v>
      </c>
      <c r="Q752" s="27" t="s">
        <v>680</v>
      </c>
      <c r="R752" s="33">
        <v>98198</v>
      </c>
      <c r="S752" s="34">
        <v>42073</v>
      </c>
      <c r="T752" s="34">
        <v>42077</v>
      </c>
      <c r="U752" s="29">
        <v>-14140.7016</v>
      </c>
      <c r="V752" s="26">
        <v>1</v>
      </c>
      <c r="W752" s="29">
        <v>6296</v>
      </c>
      <c r="X752" s="26">
        <v>87317</v>
      </c>
      <c r="Y752" s="35">
        <v>6782.93</v>
      </c>
      <c r="Z752" s="1" t="s">
        <v>3013</v>
      </c>
      <c r="AA752" s="36">
        <v>610.47180000000003</v>
      </c>
      <c r="AB752" s="54">
        <v>3840.56</v>
      </c>
      <c r="AC752" s="54">
        <v>2455.44</v>
      </c>
      <c r="AD752" s="36">
        <v>19801.739800000003</v>
      </c>
    </row>
    <row r="753" spans="1:30" s="37" customFormat="1" ht="15.75" customHeight="1" x14ac:dyDescent="0.2">
      <c r="A753" s="26">
        <v>52</v>
      </c>
      <c r="B753" s="27" t="s">
        <v>1565</v>
      </c>
      <c r="C753" s="27" t="s">
        <v>3094</v>
      </c>
      <c r="D753" s="28">
        <v>0</v>
      </c>
      <c r="E753" s="29">
        <v>115.99</v>
      </c>
      <c r="F753" s="29">
        <v>2.5</v>
      </c>
      <c r="G753" s="30" t="s">
        <v>39</v>
      </c>
      <c r="H753" s="27" t="s">
        <v>94</v>
      </c>
      <c r="I753" s="27" t="s">
        <v>41</v>
      </c>
      <c r="J753" s="27" t="s">
        <v>135</v>
      </c>
      <c r="K753" s="27" t="s">
        <v>73</v>
      </c>
      <c r="L753" s="31" t="s">
        <v>1566</v>
      </c>
      <c r="M753" s="32">
        <v>0.56999999999999995</v>
      </c>
      <c r="N753" s="27" t="s">
        <v>33</v>
      </c>
      <c r="O753" s="27" t="s">
        <v>60</v>
      </c>
      <c r="P753" s="27" t="s">
        <v>67</v>
      </c>
      <c r="Q753" s="27" t="s">
        <v>1567</v>
      </c>
      <c r="R753" s="33">
        <v>98373</v>
      </c>
      <c r="S753" s="34">
        <v>42073</v>
      </c>
      <c r="T753" s="34">
        <v>42073</v>
      </c>
      <c r="U753" s="29">
        <v>162.666</v>
      </c>
      <c r="V753" s="26">
        <v>6</v>
      </c>
      <c r="W753" s="29">
        <v>627.04</v>
      </c>
      <c r="X753" s="26">
        <v>88426</v>
      </c>
      <c r="Y753" s="35">
        <v>99.97999999999999</v>
      </c>
      <c r="Z753" s="1" t="s">
        <v>3013</v>
      </c>
      <c r="AA753" s="36">
        <v>0</v>
      </c>
      <c r="AB753" s="54">
        <v>269.62720000000002</v>
      </c>
      <c r="AC753" s="54">
        <v>59.568799999999989</v>
      </c>
      <c r="AD753" s="36">
        <v>461.87399999999997</v>
      </c>
    </row>
    <row r="754" spans="1:30" s="37" customFormat="1" ht="15.75" customHeight="1" x14ac:dyDescent="0.2">
      <c r="A754" s="26">
        <v>2545</v>
      </c>
      <c r="B754" s="27" t="s">
        <v>1561</v>
      </c>
      <c r="C754" s="27" t="s">
        <v>116</v>
      </c>
      <c r="D754" s="28">
        <v>0.01</v>
      </c>
      <c r="E754" s="29">
        <v>99.99</v>
      </c>
      <c r="F754" s="29">
        <v>19.989999999999998</v>
      </c>
      <c r="G754" s="30" t="s">
        <v>87</v>
      </c>
      <c r="H754" s="27" t="s">
        <v>71</v>
      </c>
      <c r="I754" s="27" t="s">
        <v>41</v>
      </c>
      <c r="J754" s="27" t="s">
        <v>57</v>
      </c>
      <c r="K754" s="27" t="s">
        <v>73</v>
      </c>
      <c r="L754" s="31" t="s">
        <v>1562</v>
      </c>
      <c r="M754" s="32">
        <v>0.52</v>
      </c>
      <c r="N754" s="27" t="s">
        <v>33</v>
      </c>
      <c r="O754" s="27" t="s">
        <v>34</v>
      </c>
      <c r="P754" s="27" t="s">
        <v>242</v>
      </c>
      <c r="Q754" s="27" t="s">
        <v>878</v>
      </c>
      <c r="R754" s="33">
        <v>22153</v>
      </c>
      <c r="S754" s="34">
        <v>42073</v>
      </c>
      <c r="T754" s="34">
        <v>42075</v>
      </c>
      <c r="U754" s="29">
        <v>90.024000000000001</v>
      </c>
      <c r="V754" s="26">
        <v>2</v>
      </c>
      <c r="W754" s="29">
        <v>202.98</v>
      </c>
      <c r="X754" s="26">
        <v>87915</v>
      </c>
      <c r="Y754" s="35">
        <v>4.8800000000000008</v>
      </c>
      <c r="Z754" s="1" t="s">
        <v>3011</v>
      </c>
      <c r="AA754" s="36">
        <v>1.9998</v>
      </c>
      <c r="AB754" s="54">
        <v>97.430399999999992</v>
      </c>
      <c r="AC754" s="54">
        <v>52.774799999999999</v>
      </c>
      <c r="AD754" s="36">
        <v>90.966200000000001</v>
      </c>
    </row>
    <row r="755" spans="1:30" s="37" customFormat="1" ht="15.75" customHeight="1" x14ac:dyDescent="0.2">
      <c r="A755" s="26">
        <v>3194</v>
      </c>
      <c r="B755" s="27" t="s">
        <v>1563</v>
      </c>
      <c r="C755" s="27" t="s">
        <v>116</v>
      </c>
      <c r="D755" s="28">
        <v>0</v>
      </c>
      <c r="E755" s="29">
        <v>22.84</v>
      </c>
      <c r="F755" s="29">
        <v>8.18</v>
      </c>
      <c r="G755" s="30" t="s">
        <v>39</v>
      </c>
      <c r="H755" s="27" t="s">
        <v>40</v>
      </c>
      <c r="I755" s="27" t="s">
        <v>49</v>
      </c>
      <c r="J755" s="27" t="s">
        <v>88</v>
      </c>
      <c r="K755" s="27" t="s">
        <v>73</v>
      </c>
      <c r="L755" s="31" t="s">
        <v>605</v>
      </c>
      <c r="M755" s="32">
        <v>0.39</v>
      </c>
      <c r="N755" s="27" t="s">
        <v>33</v>
      </c>
      <c r="O755" s="27" t="s">
        <v>34</v>
      </c>
      <c r="P755" s="27" t="s">
        <v>123</v>
      </c>
      <c r="Q755" s="27" t="s">
        <v>436</v>
      </c>
      <c r="R755" s="33">
        <v>34609</v>
      </c>
      <c r="S755" s="34">
        <v>42073</v>
      </c>
      <c r="T755" s="34">
        <v>42075</v>
      </c>
      <c r="U755" s="29">
        <v>-110.376</v>
      </c>
      <c r="V755" s="26">
        <v>6</v>
      </c>
      <c r="W755" s="29">
        <v>141.74</v>
      </c>
      <c r="X755" s="26">
        <v>89805</v>
      </c>
      <c r="Y755" s="35">
        <v>22.84</v>
      </c>
      <c r="Z755" s="1" t="s">
        <v>3011</v>
      </c>
      <c r="AA755" s="36">
        <v>0</v>
      </c>
      <c r="AB755" s="54">
        <v>86.461399999999998</v>
      </c>
      <c r="AC755" s="54">
        <v>9.2131000000000007</v>
      </c>
      <c r="AD755" s="36">
        <v>243.93600000000001</v>
      </c>
    </row>
    <row r="756" spans="1:30" s="37" customFormat="1" ht="15.75" customHeight="1" x14ac:dyDescent="0.2">
      <c r="A756" s="26">
        <v>53</v>
      </c>
      <c r="B756" s="27" t="s">
        <v>840</v>
      </c>
      <c r="C756" s="27" t="s">
        <v>3094</v>
      </c>
      <c r="D756" s="28">
        <v>0.02</v>
      </c>
      <c r="E756" s="29">
        <v>5.98</v>
      </c>
      <c r="F756" s="29">
        <v>5.79</v>
      </c>
      <c r="G756" s="30" t="s">
        <v>39</v>
      </c>
      <c r="H756" s="27" t="s">
        <v>94</v>
      </c>
      <c r="I756" s="27" t="s">
        <v>49</v>
      </c>
      <c r="J756" s="27" t="s">
        <v>88</v>
      </c>
      <c r="K756" s="27" t="s">
        <v>73</v>
      </c>
      <c r="L756" s="31" t="s">
        <v>471</v>
      </c>
      <c r="M756" s="32">
        <v>0.36</v>
      </c>
      <c r="N756" s="27" t="s">
        <v>33</v>
      </c>
      <c r="O756" s="27" t="s">
        <v>60</v>
      </c>
      <c r="P756" s="27" t="s">
        <v>67</v>
      </c>
      <c r="Q756" s="27" t="s">
        <v>842</v>
      </c>
      <c r="R756" s="33">
        <v>98052</v>
      </c>
      <c r="S756" s="34">
        <v>42073</v>
      </c>
      <c r="T756" s="34">
        <v>42074</v>
      </c>
      <c r="U756" s="29">
        <v>-67.489999999999995</v>
      </c>
      <c r="V756" s="26">
        <v>17</v>
      </c>
      <c r="W756" s="29">
        <v>110.19</v>
      </c>
      <c r="X756" s="26">
        <v>88426</v>
      </c>
      <c r="Y756" s="35">
        <v>115.99</v>
      </c>
      <c r="Z756" s="1" t="s">
        <v>3013</v>
      </c>
      <c r="AA756" s="36">
        <v>2.0332000000000003</v>
      </c>
      <c r="AB756" s="54">
        <v>70.521600000000007</v>
      </c>
      <c r="AC756" s="54">
        <v>2.3334352941176468</v>
      </c>
      <c r="AD756" s="36">
        <v>169.85679999999999</v>
      </c>
    </row>
    <row r="757" spans="1:30" s="37" customFormat="1" ht="15.75" customHeight="1" x14ac:dyDescent="0.2">
      <c r="A757" s="26">
        <v>3194</v>
      </c>
      <c r="B757" s="27" t="s">
        <v>1563</v>
      </c>
      <c r="C757" s="27" t="s">
        <v>116</v>
      </c>
      <c r="D757" s="28">
        <v>0.1</v>
      </c>
      <c r="E757" s="29">
        <v>4.9800000000000004</v>
      </c>
      <c r="F757" s="29">
        <v>7.54</v>
      </c>
      <c r="G757" s="30" t="s">
        <v>39</v>
      </c>
      <c r="H757" s="27" t="s">
        <v>40</v>
      </c>
      <c r="I757" s="27" t="s">
        <v>49</v>
      </c>
      <c r="J757" s="27" t="s">
        <v>88</v>
      </c>
      <c r="K757" s="27" t="s">
        <v>73</v>
      </c>
      <c r="L757" s="31" t="s">
        <v>1564</v>
      </c>
      <c r="M757" s="32">
        <v>0.38</v>
      </c>
      <c r="N757" s="27" t="s">
        <v>33</v>
      </c>
      <c r="O757" s="27" t="s">
        <v>34</v>
      </c>
      <c r="P757" s="27" t="s">
        <v>123</v>
      </c>
      <c r="Q757" s="27" t="s">
        <v>436</v>
      </c>
      <c r="R757" s="33">
        <v>34609</v>
      </c>
      <c r="S757" s="34">
        <v>42073</v>
      </c>
      <c r="T757" s="34">
        <v>42074</v>
      </c>
      <c r="U757" s="29">
        <v>45.078000000000003</v>
      </c>
      <c r="V757" s="26">
        <v>9</v>
      </c>
      <c r="W757" s="29">
        <v>43.84</v>
      </c>
      <c r="X757" s="26">
        <v>89805</v>
      </c>
      <c r="Y757" s="35">
        <v>5.9600000000000009</v>
      </c>
      <c r="Z757" s="1" t="s">
        <v>3011</v>
      </c>
      <c r="AA757" s="36">
        <v>4.4820000000000002</v>
      </c>
      <c r="AB757" s="54">
        <v>27.180800000000001</v>
      </c>
      <c r="AC757" s="54">
        <v>1.8510222222222223</v>
      </c>
      <c r="AD757" s="36">
        <v>-13.259999999999998</v>
      </c>
    </row>
    <row r="758" spans="1:30" s="37" customFormat="1" ht="15.75" customHeight="1" x14ac:dyDescent="0.2">
      <c r="A758" s="26">
        <v>1484</v>
      </c>
      <c r="B758" s="27" t="s">
        <v>1579</v>
      </c>
      <c r="C758" s="27" t="s">
        <v>38</v>
      </c>
      <c r="D758" s="28">
        <v>0</v>
      </c>
      <c r="E758" s="29">
        <v>193.17</v>
      </c>
      <c r="F758" s="29">
        <v>19.989999999999998</v>
      </c>
      <c r="G758" s="30" t="s">
        <v>39</v>
      </c>
      <c r="H758" s="27" t="s">
        <v>71</v>
      </c>
      <c r="I758" s="27" t="s">
        <v>49</v>
      </c>
      <c r="J758" s="27" t="s">
        <v>78</v>
      </c>
      <c r="K758" s="27" t="s">
        <v>73</v>
      </c>
      <c r="L758" s="31" t="s">
        <v>1582</v>
      </c>
      <c r="M758" s="32">
        <v>0.71</v>
      </c>
      <c r="N758" s="27" t="s">
        <v>33</v>
      </c>
      <c r="O758" s="27" t="s">
        <v>53</v>
      </c>
      <c r="P758" s="27" t="s">
        <v>103</v>
      </c>
      <c r="Q758" s="27" t="s">
        <v>1581</v>
      </c>
      <c r="R758" s="33">
        <v>60016</v>
      </c>
      <c r="S758" s="34">
        <v>42074</v>
      </c>
      <c r="T758" s="34">
        <v>42075</v>
      </c>
      <c r="U758" s="29">
        <v>282.18</v>
      </c>
      <c r="V758" s="26">
        <v>5</v>
      </c>
      <c r="W758" s="29">
        <v>971.4</v>
      </c>
      <c r="X758" s="26">
        <v>91235</v>
      </c>
      <c r="Y758" s="35">
        <v>2.5499999999999998</v>
      </c>
      <c r="Z758" s="1" t="s">
        <v>3012</v>
      </c>
      <c r="AA758" s="36">
        <v>0</v>
      </c>
      <c r="AB758" s="54">
        <v>281.70600000000002</v>
      </c>
      <c r="AC758" s="54">
        <v>137.93879999999999</v>
      </c>
      <c r="AD758" s="36">
        <v>669.23</v>
      </c>
    </row>
    <row r="759" spans="1:30" s="37" customFormat="1" ht="15.75" customHeight="1" x14ac:dyDescent="0.2">
      <c r="A759" s="26">
        <v>1484</v>
      </c>
      <c r="B759" s="27" t="s">
        <v>1579</v>
      </c>
      <c r="C759" s="27" t="s">
        <v>38</v>
      </c>
      <c r="D759" s="28">
        <v>0.06</v>
      </c>
      <c r="E759" s="29">
        <v>99.99</v>
      </c>
      <c r="F759" s="29">
        <v>19.989999999999998</v>
      </c>
      <c r="G759" s="30" t="s">
        <v>39</v>
      </c>
      <c r="H759" s="27" t="s">
        <v>71</v>
      </c>
      <c r="I759" s="27" t="s">
        <v>41</v>
      </c>
      <c r="J759" s="27" t="s">
        <v>42</v>
      </c>
      <c r="K759" s="27" t="s">
        <v>73</v>
      </c>
      <c r="L759" s="31" t="s">
        <v>1580</v>
      </c>
      <c r="M759" s="32">
        <v>0.52</v>
      </c>
      <c r="N759" s="27" t="s">
        <v>33</v>
      </c>
      <c r="O759" s="27" t="s">
        <v>53</v>
      </c>
      <c r="P759" s="27" t="s">
        <v>103</v>
      </c>
      <c r="Q759" s="27" t="s">
        <v>1581</v>
      </c>
      <c r="R759" s="33">
        <v>60016</v>
      </c>
      <c r="S759" s="34">
        <v>42074</v>
      </c>
      <c r="T759" s="34">
        <v>42077</v>
      </c>
      <c r="U759" s="29">
        <v>-127.56</v>
      </c>
      <c r="V759" s="26">
        <v>3</v>
      </c>
      <c r="W759" s="29">
        <v>290.24</v>
      </c>
      <c r="X759" s="26">
        <v>91235</v>
      </c>
      <c r="Y759" s="35">
        <v>6.34</v>
      </c>
      <c r="Z759" s="1" t="s">
        <v>3012</v>
      </c>
      <c r="AA759" s="36">
        <v>17.998199999999997</v>
      </c>
      <c r="AB759" s="54">
        <v>139.3152</v>
      </c>
      <c r="AC759" s="54">
        <v>50.308266666666668</v>
      </c>
      <c r="AD759" s="36">
        <v>379.81180000000001</v>
      </c>
    </row>
    <row r="760" spans="1:30" s="37" customFormat="1" ht="15.75" customHeight="1" x14ac:dyDescent="0.2">
      <c r="A760" s="26">
        <v>1497</v>
      </c>
      <c r="B760" s="27" t="s">
        <v>1574</v>
      </c>
      <c r="C760" s="27" t="s">
        <v>26</v>
      </c>
      <c r="D760" s="28">
        <v>0.03</v>
      </c>
      <c r="E760" s="29">
        <v>15.14</v>
      </c>
      <c r="F760" s="29">
        <v>4.53</v>
      </c>
      <c r="G760" s="30" t="s">
        <v>39</v>
      </c>
      <c r="H760" s="27" t="s">
        <v>94</v>
      </c>
      <c r="I760" s="27" t="s">
        <v>49</v>
      </c>
      <c r="J760" s="27" t="s">
        <v>78</v>
      </c>
      <c r="K760" s="27" t="s">
        <v>73</v>
      </c>
      <c r="L760" s="31" t="s">
        <v>1355</v>
      </c>
      <c r="M760" s="32">
        <v>0.81</v>
      </c>
      <c r="N760" s="27" t="s">
        <v>33</v>
      </c>
      <c r="O760" s="27" t="s">
        <v>111</v>
      </c>
      <c r="P760" s="27" t="s">
        <v>112</v>
      </c>
      <c r="Q760" s="27" t="s">
        <v>1576</v>
      </c>
      <c r="R760" s="33">
        <v>14901</v>
      </c>
      <c r="S760" s="34">
        <v>42074</v>
      </c>
      <c r="T760" s="34">
        <v>42076</v>
      </c>
      <c r="U760" s="29">
        <v>-92.87</v>
      </c>
      <c r="V760" s="26">
        <v>17</v>
      </c>
      <c r="W760" s="29">
        <v>256.73</v>
      </c>
      <c r="X760" s="26">
        <v>85880</v>
      </c>
      <c r="Y760" s="35">
        <v>8.3099999999999987</v>
      </c>
      <c r="Z760" s="1" t="s">
        <v>3014</v>
      </c>
      <c r="AA760" s="36">
        <v>7.7214</v>
      </c>
      <c r="AB760" s="54">
        <v>48.778699999999986</v>
      </c>
      <c r="AC760" s="54">
        <v>12.232429411764707</v>
      </c>
      <c r="AD760" s="36">
        <v>337.34860000000003</v>
      </c>
    </row>
    <row r="761" spans="1:30" s="37" customFormat="1" ht="15.75" customHeight="1" x14ac:dyDescent="0.2">
      <c r="A761" s="26">
        <v>3397</v>
      </c>
      <c r="B761" s="27" t="s">
        <v>1584</v>
      </c>
      <c r="C761" s="27" t="s">
        <v>38</v>
      </c>
      <c r="D761" s="28">
        <v>0.01</v>
      </c>
      <c r="E761" s="29">
        <v>10.9</v>
      </c>
      <c r="F761" s="29">
        <v>7.46</v>
      </c>
      <c r="G761" s="30" t="s">
        <v>39</v>
      </c>
      <c r="H761" s="27" t="s">
        <v>3095</v>
      </c>
      <c r="I761" s="27" t="s">
        <v>49</v>
      </c>
      <c r="J761" s="27" t="s">
        <v>78</v>
      </c>
      <c r="K761" s="27" t="s">
        <v>73</v>
      </c>
      <c r="L761" s="31" t="s">
        <v>1585</v>
      </c>
      <c r="M761" s="32">
        <v>0.59</v>
      </c>
      <c r="N761" s="27" t="s">
        <v>33</v>
      </c>
      <c r="O761" s="27" t="s">
        <v>53</v>
      </c>
      <c r="P761" s="27" t="s">
        <v>103</v>
      </c>
      <c r="Q761" s="27" t="s">
        <v>1586</v>
      </c>
      <c r="R761" s="33">
        <v>61832</v>
      </c>
      <c r="S761" s="34">
        <v>42074</v>
      </c>
      <c r="T761" s="34">
        <v>42075</v>
      </c>
      <c r="U761" s="29">
        <v>-116.76</v>
      </c>
      <c r="V761" s="26">
        <v>18</v>
      </c>
      <c r="W761" s="29">
        <v>207.31</v>
      </c>
      <c r="X761" s="26">
        <v>87536</v>
      </c>
      <c r="Y761" s="35">
        <v>6.3900000000000006</v>
      </c>
      <c r="Z761" s="1" t="s">
        <v>3012</v>
      </c>
      <c r="AA761" s="36">
        <v>1.962</v>
      </c>
      <c r="AB761" s="54">
        <v>84.997100000000003</v>
      </c>
      <c r="AC761" s="54">
        <v>6.7951611111111117</v>
      </c>
      <c r="AD761" s="36">
        <v>314.64800000000002</v>
      </c>
    </row>
    <row r="762" spans="1:30" s="37" customFormat="1" ht="15.75" customHeight="1" x14ac:dyDescent="0.2">
      <c r="A762" s="26">
        <v>1484</v>
      </c>
      <c r="B762" s="27" t="s">
        <v>1579</v>
      </c>
      <c r="C762" s="27" t="s">
        <v>38</v>
      </c>
      <c r="D762" s="28">
        <v>0.08</v>
      </c>
      <c r="E762" s="29">
        <v>20.99</v>
      </c>
      <c r="F762" s="29">
        <v>3.3</v>
      </c>
      <c r="G762" s="30" t="s">
        <v>87</v>
      </c>
      <c r="H762" s="27" t="s">
        <v>71</v>
      </c>
      <c r="I762" s="27" t="s">
        <v>41</v>
      </c>
      <c r="J762" s="27" t="s">
        <v>135</v>
      </c>
      <c r="K762" s="27" t="s">
        <v>43</v>
      </c>
      <c r="L762" s="31" t="s">
        <v>1583</v>
      </c>
      <c r="M762" s="32">
        <v>0.81</v>
      </c>
      <c r="N762" s="27" t="s">
        <v>33</v>
      </c>
      <c r="O762" s="27" t="s">
        <v>53</v>
      </c>
      <c r="P762" s="27" t="s">
        <v>103</v>
      </c>
      <c r="Q762" s="27" t="s">
        <v>1581</v>
      </c>
      <c r="R762" s="33">
        <v>60016</v>
      </c>
      <c r="S762" s="34">
        <v>42074</v>
      </c>
      <c r="T762" s="34">
        <v>42074</v>
      </c>
      <c r="U762" s="29">
        <v>-96.337999999999994</v>
      </c>
      <c r="V762" s="26">
        <v>11</v>
      </c>
      <c r="W762" s="29">
        <v>193.51</v>
      </c>
      <c r="X762" s="26">
        <v>91235</v>
      </c>
      <c r="Y762" s="35">
        <v>6.19</v>
      </c>
      <c r="Z762" s="1" t="s">
        <v>3012</v>
      </c>
      <c r="AA762" s="36">
        <v>18.471199999999996</v>
      </c>
      <c r="AB762" s="54">
        <v>36.766899999999985</v>
      </c>
      <c r="AC762" s="54">
        <v>14.249372727272727</v>
      </c>
      <c r="AD762" s="36">
        <v>268.07679999999999</v>
      </c>
    </row>
    <row r="763" spans="1:30" s="37" customFormat="1" ht="15.75" customHeight="1" x14ac:dyDescent="0.2">
      <c r="A763" s="26">
        <v>1494</v>
      </c>
      <c r="B763" s="27" t="s">
        <v>1571</v>
      </c>
      <c r="C763" s="27" t="s">
        <v>26</v>
      </c>
      <c r="D763" s="28">
        <v>0.06</v>
      </c>
      <c r="E763" s="29">
        <v>8.3699999999999992</v>
      </c>
      <c r="F763" s="29">
        <v>10.16</v>
      </c>
      <c r="G763" s="30" t="s">
        <v>39</v>
      </c>
      <c r="H763" s="27" t="s">
        <v>94</v>
      </c>
      <c r="I763" s="27" t="s">
        <v>29</v>
      </c>
      <c r="J763" s="27" t="s">
        <v>126</v>
      </c>
      <c r="K763" s="27" t="s">
        <v>65</v>
      </c>
      <c r="L763" s="31" t="s">
        <v>1572</v>
      </c>
      <c r="M763" s="32">
        <v>0.59</v>
      </c>
      <c r="N763" s="27" t="s">
        <v>33</v>
      </c>
      <c r="O763" s="27" t="s">
        <v>111</v>
      </c>
      <c r="P763" s="27" t="s">
        <v>418</v>
      </c>
      <c r="Q763" s="27" t="s">
        <v>1573</v>
      </c>
      <c r="R763" s="33">
        <v>21222</v>
      </c>
      <c r="S763" s="34">
        <v>42074</v>
      </c>
      <c r="T763" s="34">
        <v>42076</v>
      </c>
      <c r="U763" s="29">
        <v>-255.65</v>
      </c>
      <c r="V763" s="26">
        <v>18</v>
      </c>
      <c r="W763" s="29">
        <v>157.63999999999999</v>
      </c>
      <c r="X763" s="26">
        <v>85880</v>
      </c>
      <c r="Y763" s="35">
        <v>15.110000000000001</v>
      </c>
      <c r="Z763" s="1" t="s">
        <v>3014</v>
      </c>
      <c r="AA763" s="36">
        <v>9.0396000000000001</v>
      </c>
      <c r="AB763" s="54">
        <v>64.632400000000004</v>
      </c>
      <c r="AC763" s="54">
        <v>5.1670888888888884</v>
      </c>
      <c r="AD763" s="36">
        <v>394.09039999999999</v>
      </c>
    </row>
    <row r="764" spans="1:30" s="37" customFormat="1" ht="15.75" customHeight="1" x14ac:dyDescent="0.2">
      <c r="A764" s="26">
        <v>3397</v>
      </c>
      <c r="B764" s="27" t="s">
        <v>1584</v>
      </c>
      <c r="C764" s="27" t="s">
        <v>38</v>
      </c>
      <c r="D764" s="28">
        <v>0.1</v>
      </c>
      <c r="E764" s="29">
        <v>7.99</v>
      </c>
      <c r="F764" s="29">
        <v>5.03</v>
      </c>
      <c r="G764" s="30" t="s">
        <v>39</v>
      </c>
      <c r="H764" s="27" t="s">
        <v>3095</v>
      </c>
      <c r="I764" s="27" t="s">
        <v>41</v>
      </c>
      <c r="J764" s="27" t="s">
        <v>135</v>
      </c>
      <c r="K764" s="27" t="s">
        <v>144</v>
      </c>
      <c r="L764" s="31" t="s">
        <v>465</v>
      </c>
      <c r="M764" s="32">
        <v>0.6</v>
      </c>
      <c r="N764" s="27" t="s">
        <v>33</v>
      </c>
      <c r="O764" s="27" t="s">
        <v>53</v>
      </c>
      <c r="P764" s="27" t="s">
        <v>103</v>
      </c>
      <c r="Q764" s="27" t="s">
        <v>1586</v>
      </c>
      <c r="R764" s="33">
        <v>61832</v>
      </c>
      <c r="S764" s="34">
        <v>42074</v>
      </c>
      <c r="T764" s="34">
        <v>42075</v>
      </c>
      <c r="U764" s="29">
        <v>-160.952</v>
      </c>
      <c r="V764" s="26">
        <v>22</v>
      </c>
      <c r="W764" s="29">
        <v>143.12</v>
      </c>
      <c r="X764" s="26">
        <v>87536</v>
      </c>
      <c r="Y764" s="35">
        <v>2.6</v>
      </c>
      <c r="Z764" s="1" t="s">
        <v>3012</v>
      </c>
      <c r="AA764" s="36">
        <v>17.577999999999999</v>
      </c>
      <c r="AB764" s="54">
        <v>57.248000000000005</v>
      </c>
      <c r="AC764" s="54">
        <v>3.9032727272727272</v>
      </c>
      <c r="AD764" s="36">
        <v>281.464</v>
      </c>
    </row>
    <row r="765" spans="1:30" s="37" customFormat="1" ht="15.75" customHeight="1" x14ac:dyDescent="0.2">
      <c r="A765" s="26">
        <v>753</v>
      </c>
      <c r="B765" s="27" t="s">
        <v>1568</v>
      </c>
      <c r="C765" s="27" t="s">
        <v>26</v>
      </c>
      <c r="D765" s="28">
        <v>0.01</v>
      </c>
      <c r="E765" s="29">
        <v>6.35</v>
      </c>
      <c r="F765" s="29">
        <v>1.02</v>
      </c>
      <c r="G765" s="30" t="s">
        <v>39</v>
      </c>
      <c r="H765" s="27" t="s">
        <v>94</v>
      </c>
      <c r="I765" s="27" t="s">
        <v>49</v>
      </c>
      <c r="J765" s="27" t="s">
        <v>88</v>
      </c>
      <c r="K765" s="27" t="s">
        <v>51</v>
      </c>
      <c r="L765" s="31" t="s">
        <v>527</v>
      </c>
      <c r="M765" s="32">
        <v>0.39</v>
      </c>
      <c r="N765" s="27" t="s">
        <v>33</v>
      </c>
      <c r="O765" s="27" t="s">
        <v>60</v>
      </c>
      <c r="P765" s="27" t="s">
        <v>588</v>
      </c>
      <c r="Q765" s="27" t="s">
        <v>1570</v>
      </c>
      <c r="R765" s="33">
        <v>86301</v>
      </c>
      <c r="S765" s="34">
        <v>42074</v>
      </c>
      <c r="T765" s="34">
        <v>42076</v>
      </c>
      <c r="U765" s="29">
        <v>97.662599999999998</v>
      </c>
      <c r="V765" s="26">
        <v>22</v>
      </c>
      <c r="W765" s="29">
        <v>141.54</v>
      </c>
      <c r="X765" s="26">
        <v>90438</v>
      </c>
      <c r="Y765" s="35">
        <v>99.929999999999993</v>
      </c>
      <c r="Z765" s="1" t="s">
        <v>3013</v>
      </c>
      <c r="AA765" s="36">
        <v>1.397</v>
      </c>
      <c r="AB765" s="54">
        <v>86.339399999999998</v>
      </c>
      <c r="AC765" s="54">
        <v>2.5091181818181818</v>
      </c>
      <c r="AD765" s="36">
        <v>41.460399999999993</v>
      </c>
    </row>
    <row r="766" spans="1:30" s="37" customFormat="1" ht="15.75" customHeight="1" x14ac:dyDescent="0.2">
      <c r="A766" s="26">
        <v>796</v>
      </c>
      <c r="B766" s="27" t="s">
        <v>1588</v>
      </c>
      <c r="C766" s="27" t="s">
        <v>3094</v>
      </c>
      <c r="D766" s="28">
        <v>0.06</v>
      </c>
      <c r="E766" s="29">
        <v>8.6</v>
      </c>
      <c r="F766" s="29">
        <v>6.19</v>
      </c>
      <c r="G766" s="30" t="s">
        <v>39</v>
      </c>
      <c r="H766" s="27" t="s">
        <v>94</v>
      </c>
      <c r="I766" s="27" t="s">
        <v>49</v>
      </c>
      <c r="J766" s="27" t="s">
        <v>72</v>
      </c>
      <c r="K766" s="27" t="s">
        <v>73</v>
      </c>
      <c r="L766" s="31" t="s">
        <v>532</v>
      </c>
      <c r="M766" s="32">
        <v>0.38</v>
      </c>
      <c r="N766" s="27" t="s">
        <v>33</v>
      </c>
      <c r="O766" s="27" t="s">
        <v>53</v>
      </c>
      <c r="P766" s="27" t="s">
        <v>133</v>
      </c>
      <c r="Q766" s="27" t="s">
        <v>1589</v>
      </c>
      <c r="R766" s="33">
        <v>68046</v>
      </c>
      <c r="S766" s="34">
        <v>42074</v>
      </c>
      <c r="T766" s="34">
        <v>42075</v>
      </c>
      <c r="U766" s="29">
        <v>-46.115000000000002</v>
      </c>
      <c r="V766" s="26">
        <v>9</v>
      </c>
      <c r="W766" s="29">
        <v>79.400000000000006</v>
      </c>
      <c r="X766" s="26">
        <v>86867</v>
      </c>
      <c r="Y766" s="35">
        <v>193.17</v>
      </c>
      <c r="Z766" s="1" t="s">
        <v>3012</v>
      </c>
      <c r="AA766" s="36">
        <v>4.6440000000000001</v>
      </c>
      <c r="AB766" s="54">
        <v>49.228000000000002</v>
      </c>
      <c r="AC766" s="54">
        <v>3.3524444444444446</v>
      </c>
      <c r="AD766" s="36">
        <v>114.68100000000001</v>
      </c>
    </row>
    <row r="767" spans="1:30" s="37" customFormat="1" ht="15.75" customHeight="1" x14ac:dyDescent="0.2">
      <c r="A767" s="26">
        <v>3151</v>
      </c>
      <c r="B767" s="27" t="s">
        <v>953</v>
      </c>
      <c r="C767" s="27" t="s">
        <v>116</v>
      </c>
      <c r="D767" s="28">
        <v>0.02</v>
      </c>
      <c r="E767" s="29">
        <v>5.98</v>
      </c>
      <c r="F767" s="29">
        <v>1.49</v>
      </c>
      <c r="G767" s="30" t="s">
        <v>39</v>
      </c>
      <c r="H767" s="27" t="s">
        <v>94</v>
      </c>
      <c r="I767" s="27" t="s">
        <v>49</v>
      </c>
      <c r="J767" s="27" t="s">
        <v>72</v>
      </c>
      <c r="K767" s="27" t="s">
        <v>73</v>
      </c>
      <c r="L767" s="31" t="s">
        <v>1587</v>
      </c>
      <c r="M767" s="32">
        <v>0.39</v>
      </c>
      <c r="N767" s="27" t="s">
        <v>33</v>
      </c>
      <c r="O767" s="27" t="s">
        <v>60</v>
      </c>
      <c r="P767" s="27" t="s">
        <v>90</v>
      </c>
      <c r="Q767" s="27" t="s">
        <v>954</v>
      </c>
      <c r="R767" s="33">
        <v>92277</v>
      </c>
      <c r="S767" s="34">
        <v>42074</v>
      </c>
      <c r="T767" s="34">
        <v>42075</v>
      </c>
      <c r="U767" s="29">
        <v>28.526</v>
      </c>
      <c r="V767" s="26">
        <v>10</v>
      </c>
      <c r="W767" s="29">
        <v>59.9</v>
      </c>
      <c r="X767" s="26">
        <v>88547</v>
      </c>
      <c r="Y767" s="35">
        <v>20.91</v>
      </c>
      <c r="Z767" s="1" t="s">
        <v>3013</v>
      </c>
      <c r="AA767" s="36">
        <v>1.1960000000000002</v>
      </c>
      <c r="AB767" s="54">
        <v>36.539000000000001</v>
      </c>
      <c r="AC767" s="54">
        <v>2.3361000000000001</v>
      </c>
      <c r="AD767" s="36">
        <v>28.687999999999999</v>
      </c>
    </row>
    <row r="768" spans="1:30" s="37" customFormat="1" ht="15.75" customHeight="1" x14ac:dyDescent="0.2">
      <c r="A768" s="26">
        <v>2616</v>
      </c>
      <c r="B768" s="27" t="s">
        <v>1577</v>
      </c>
      <c r="C768" s="27" t="s">
        <v>26</v>
      </c>
      <c r="D768" s="28">
        <v>0</v>
      </c>
      <c r="E768" s="29">
        <v>2.6</v>
      </c>
      <c r="F768" s="29">
        <v>2.4</v>
      </c>
      <c r="G768" s="30" t="s">
        <v>39</v>
      </c>
      <c r="H768" s="27" t="s">
        <v>94</v>
      </c>
      <c r="I768" s="27" t="s">
        <v>49</v>
      </c>
      <c r="J768" s="27" t="s">
        <v>50</v>
      </c>
      <c r="K768" s="27" t="s">
        <v>51</v>
      </c>
      <c r="L768" s="31" t="s">
        <v>356</v>
      </c>
      <c r="M768" s="32">
        <v>0.57999999999999996</v>
      </c>
      <c r="N768" s="27" t="s">
        <v>33</v>
      </c>
      <c r="O768" s="27" t="s">
        <v>53</v>
      </c>
      <c r="P768" s="27" t="s">
        <v>289</v>
      </c>
      <c r="Q768" s="27" t="s">
        <v>1578</v>
      </c>
      <c r="R768" s="33">
        <v>49002</v>
      </c>
      <c r="S768" s="34">
        <v>42074</v>
      </c>
      <c r="T768" s="34">
        <v>42076</v>
      </c>
      <c r="U768" s="29">
        <v>-45.21</v>
      </c>
      <c r="V768" s="26">
        <v>16</v>
      </c>
      <c r="W768" s="29">
        <v>44.75</v>
      </c>
      <c r="X768" s="26">
        <v>91495</v>
      </c>
      <c r="Y768" s="35">
        <v>10.89</v>
      </c>
      <c r="Z768" s="1" t="s">
        <v>3012</v>
      </c>
      <c r="AA768" s="36">
        <v>0</v>
      </c>
      <c r="AB768" s="54">
        <v>18.795000000000002</v>
      </c>
      <c r="AC768" s="54">
        <v>1.6221874999999999</v>
      </c>
      <c r="AD768" s="36">
        <v>87.56</v>
      </c>
    </row>
    <row r="769" spans="1:30" s="37" customFormat="1" ht="15.75" customHeight="1" x14ac:dyDescent="0.2">
      <c r="A769" s="26">
        <v>1494</v>
      </c>
      <c r="B769" s="27" t="s">
        <v>1571</v>
      </c>
      <c r="C769" s="27" t="s">
        <v>26</v>
      </c>
      <c r="D769" s="28">
        <v>0.09</v>
      </c>
      <c r="E769" s="29">
        <v>6.48</v>
      </c>
      <c r="F769" s="29">
        <v>9.17</v>
      </c>
      <c r="G769" s="30" t="s">
        <v>87</v>
      </c>
      <c r="H769" s="27" t="s">
        <v>94</v>
      </c>
      <c r="I769" s="27" t="s">
        <v>49</v>
      </c>
      <c r="J769" s="27" t="s">
        <v>88</v>
      </c>
      <c r="K769" s="27" t="s">
        <v>73</v>
      </c>
      <c r="L769" s="31" t="s">
        <v>394</v>
      </c>
      <c r="M769" s="32">
        <v>0.37</v>
      </c>
      <c r="N769" s="27" t="s">
        <v>33</v>
      </c>
      <c r="O769" s="27" t="s">
        <v>111</v>
      </c>
      <c r="P769" s="27" t="s">
        <v>418</v>
      </c>
      <c r="Q769" s="27" t="s">
        <v>1573</v>
      </c>
      <c r="R769" s="33">
        <v>21222</v>
      </c>
      <c r="S769" s="34">
        <v>42074</v>
      </c>
      <c r="T769" s="34">
        <v>42076</v>
      </c>
      <c r="U769" s="29">
        <v>-76.540000000000006</v>
      </c>
      <c r="V769" s="26">
        <v>6</v>
      </c>
      <c r="W769" s="29">
        <v>42.16</v>
      </c>
      <c r="X769" s="26">
        <v>85880</v>
      </c>
      <c r="Y769" s="35">
        <v>7.8900000000000006</v>
      </c>
      <c r="Z769" s="1" t="s">
        <v>3014</v>
      </c>
      <c r="AA769" s="36">
        <v>3.4992000000000001</v>
      </c>
      <c r="AB769" s="54">
        <v>26.560799999999997</v>
      </c>
      <c r="AC769" s="54">
        <v>2.5998666666666663</v>
      </c>
      <c r="AD769" s="36">
        <v>106.0308</v>
      </c>
    </row>
    <row r="770" spans="1:30" s="37" customFormat="1" ht="15.75" customHeight="1" x14ac:dyDescent="0.2">
      <c r="A770" s="26">
        <v>753</v>
      </c>
      <c r="B770" s="27" t="s">
        <v>1568</v>
      </c>
      <c r="C770" s="27" t="s">
        <v>26</v>
      </c>
      <c r="D770" s="28">
        <v>0.06</v>
      </c>
      <c r="E770" s="29">
        <v>2.61</v>
      </c>
      <c r="F770" s="29">
        <v>0.5</v>
      </c>
      <c r="G770" s="30" t="s">
        <v>87</v>
      </c>
      <c r="H770" s="27" t="s">
        <v>94</v>
      </c>
      <c r="I770" s="27" t="s">
        <v>49</v>
      </c>
      <c r="J770" s="27" t="s">
        <v>152</v>
      </c>
      <c r="K770" s="27" t="s">
        <v>73</v>
      </c>
      <c r="L770" s="31" t="s">
        <v>1569</v>
      </c>
      <c r="M770" s="32">
        <v>0.39</v>
      </c>
      <c r="N770" s="27" t="s">
        <v>33</v>
      </c>
      <c r="O770" s="27" t="s">
        <v>60</v>
      </c>
      <c r="P770" s="27" t="s">
        <v>588</v>
      </c>
      <c r="Q770" s="27" t="s">
        <v>1570</v>
      </c>
      <c r="R770" s="33">
        <v>86301</v>
      </c>
      <c r="S770" s="34">
        <v>42074</v>
      </c>
      <c r="T770" s="34">
        <v>42074</v>
      </c>
      <c r="U770" s="29">
        <v>10.85</v>
      </c>
      <c r="V770" s="26">
        <v>1</v>
      </c>
      <c r="W770" s="29">
        <v>17.59</v>
      </c>
      <c r="X770" s="26">
        <v>90438</v>
      </c>
      <c r="Y770" s="35">
        <v>5.9600000000000009</v>
      </c>
      <c r="Z770" s="1" t="s">
        <v>3013</v>
      </c>
      <c r="AA770" s="36">
        <v>0.15659999999999999</v>
      </c>
      <c r="AB770" s="54">
        <v>10.729899999999999</v>
      </c>
      <c r="AC770" s="54">
        <v>6.8601000000000001</v>
      </c>
      <c r="AD770" s="36">
        <v>6.083400000000001</v>
      </c>
    </row>
    <row r="771" spans="1:30" s="37" customFormat="1" ht="15.75" customHeight="1" x14ac:dyDescent="0.2">
      <c r="A771" s="26">
        <v>1497</v>
      </c>
      <c r="B771" s="27" t="s">
        <v>1574</v>
      </c>
      <c r="C771" s="27" t="s">
        <v>26</v>
      </c>
      <c r="D771" s="28">
        <v>0.09</v>
      </c>
      <c r="E771" s="29">
        <v>6.28</v>
      </c>
      <c r="F771" s="29">
        <v>5.29</v>
      </c>
      <c r="G771" s="30" t="s">
        <v>39</v>
      </c>
      <c r="H771" s="27" t="s">
        <v>94</v>
      </c>
      <c r="I771" s="27" t="s">
        <v>29</v>
      </c>
      <c r="J771" s="27" t="s">
        <v>126</v>
      </c>
      <c r="K771" s="27" t="s">
        <v>73</v>
      </c>
      <c r="L771" s="31" t="s">
        <v>1575</v>
      </c>
      <c r="M771" s="32">
        <v>0.43</v>
      </c>
      <c r="N771" s="27" t="s">
        <v>33</v>
      </c>
      <c r="O771" s="27" t="s">
        <v>111</v>
      </c>
      <c r="P771" s="27" t="s">
        <v>112</v>
      </c>
      <c r="Q771" s="27" t="s">
        <v>1576</v>
      </c>
      <c r="R771" s="33">
        <v>14901</v>
      </c>
      <c r="S771" s="34">
        <v>42074</v>
      </c>
      <c r="T771" s="34">
        <v>42075</v>
      </c>
      <c r="U771" s="29">
        <v>-10.09</v>
      </c>
      <c r="V771" s="26">
        <v>2</v>
      </c>
      <c r="W771" s="29">
        <v>14.08</v>
      </c>
      <c r="X771" s="26">
        <v>85880</v>
      </c>
      <c r="Y771" s="35">
        <v>8.5399999999999991</v>
      </c>
      <c r="Z771" s="1" t="s">
        <v>3014</v>
      </c>
      <c r="AA771" s="36">
        <v>1.1304000000000001</v>
      </c>
      <c r="AB771" s="54">
        <v>8.0256000000000007</v>
      </c>
      <c r="AC771" s="54">
        <v>3.0272000000000001</v>
      </c>
      <c r="AD771" s="36">
        <v>17.749600000000001</v>
      </c>
    </row>
    <row r="772" spans="1:30" s="37" customFormat="1" ht="15.75" customHeight="1" x14ac:dyDescent="0.2">
      <c r="A772" s="26">
        <v>32</v>
      </c>
      <c r="B772" s="27" t="s">
        <v>644</v>
      </c>
      <c r="C772" s="27" t="s">
        <v>48</v>
      </c>
      <c r="D772" s="28">
        <v>0.06</v>
      </c>
      <c r="E772" s="29">
        <v>205.99</v>
      </c>
      <c r="F772" s="29">
        <v>8.99</v>
      </c>
      <c r="G772" s="30" t="s">
        <v>39</v>
      </c>
      <c r="H772" s="27" t="s">
        <v>94</v>
      </c>
      <c r="I772" s="27" t="s">
        <v>41</v>
      </c>
      <c r="J772" s="27" t="s">
        <v>135</v>
      </c>
      <c r="K772" s="27" t="s">
        <v>73</v>
      </c>
      <c r="L772" s="31" t="s">
        <v>663</v>
      </c>
      <c r="M772" s="32">
        <v>0.56000000000000005</v>
      </c>
      <c r="N772" s="27" t="s">
        <v>33</v>
      </c>
      <c r="O772" s="27" t="s">
        <v>60</v>
      </c>
      <c r="P772" s="27" t="s">
        <v>139</v>
      </c>
      <c r="Q772" s="27" t="s">
        <v>646</v>
      </c>
      <c r="R772" s="33">
        <v>97526</v>
      </c>
      <c r="S772" s="34">
        <v>42075</v>
      </c>
      <c r="T772" s="34">
        <v>42082</v>
      </c>
      <c r="U772" s="29">
        <v>3568.096</v>
      </c>
      <c r="V772" s="26">
        <v>22</v>
      </c>
      <c r="W772" s="29">
        <v>3838.14</v>
      </c>
      <c r="X772" s="26">
        <v>89203</v>
      </c>
      <c r="Y772" s="35">
        <v>80.92</v>
      </c>
      <c r="Z772" s="1" t="s">
        <v>3013</v>
      </c>
      <c r="AA772" s="36">
        <v>271.90680000000003</v>
      </c>
      <c r="AB772" s="54">
        <v>1688.7815999999998</v>
      </c>
      <c r="AC772" s="54">
        <v>97.698109090909099</v>
      </c>
      <c r="AD772" s="36">
        <v>-10.852800000000116</v>
      </c>
    </row>
    <row r="773" spans="1:30" s="37" customFormat="1" ht="15.75" customHeight="1" x14ac:dyDescent="0.2">
      <c r="A773" s="26">
        <v>1027</v>
      </c>
      <c r="B773" s="27" t="s">
        <v>1593</v>
      </c>
      <c r="C773" s="27" t="s">
        <v>38</v>
      </c>
      <c r="D773" s="28">
        <v>0.05</v>
      </c>
      <c r="E773" s="29">
        <v>51.98</v>
      </c>
      <c r="F773" s="29">
        <v>10.17</v>
      </c>
      <c r="G773" s="30" t="s">
        <v>39</v>
      </c>
      <c r="H773" s="27" t="s">
        <v>3095</v>
      </c>
      <c r="I773" s="27" t="s">
        <v>41</v>
      </c>
      <c r="J773" s="27" t="s">
        <v>57</v>
      </c>
      <c r="K773" s="27" t="s">
        <v>144</v>
      </c>
      <c r="L773" s="31" t="s">
        <v>1547</v>
      </c>
      <c r="M773" s="32">
        <v>0.37</v>
      </c>
      <c r="N773" s="27" t="s">
        <v>33</v>
      </c>
      <c r="O773" s="27" t="s">
        <v>111</v>
      </c>
      <c r="P773" s="27" t="s">
        <v>112</v>
      </c>
      <c r="Q773" s="27" t="s">
        <v>1594</v>
      </c>
      <c r="R773" s="33">
        <v>14225</v>
      </c>
      <c r="S773" s="34">
        <v>42075</v>
      </c>
      <c r="T773" s="34">
        <v>42076</v>
      </c>
      <c r="U773" s="29">
        <v>329.9787</v>
      </c>
      <c r="V773" s="26">
        <v>9</v>
      </c>
      <c r="W773" s="29">
        <v>478.23</v>
      </c>
      <c r="X773" s="26">
        <v>89004</v>
      </c>
      <c r="Y773" s="35">
        <v>22.84</v>
      </c>
      <c r="Z773" s="1" t="s">
        <v>3014</v>
      </c>
      <c r="AA773" s="36">
        <v>23.391000000000002</v>
      </c>
      <c r="AB773" s="54">
        <v>301.28489999999999</v>
      </c>
      <c r="AC773" s="54">
        <v>19.660566666666668</v>
      </c>
      <c r="AD773" s="36">
        <v>114.69029999999998</v>
      </c>
    </row>
    <row r="774" spans="1:30" s="37" customFormat="1" ht="15.75" customHeight="1" x14ac:dyDescent="0.2">
      <c r="A774" s="26">
        <v>2787</v>
      </c>
      <c r="B774" s="27" t="s">
        <v>1605</v>
      </c>
      <c r="C774" s="27" t="s">
        <v>3094</v>
      </c>
      <c r="D774" s="28">
        <v>0.01</v>
      </c>
      <c r="E774" s="29">
        <v>47.98</v>
      </c>
      <c r="F774" s="29">
        <v>3.61</v>
      </c>
      <c r="G774" s="30" t="s">
        <v>87</v>
      </c>
      <c r="H774" s="27" t="s">
        <v>40</v>
      </c>
      <c r="I774" s="27" t="s">
        <v>41</v>
      </c>
      <c r="J774" s="27" t="s">
        <v>42</v>
      </c>
      <c r="K774" s="27" t="s">
        <v>43</v>
      </c>
      <c r="L774" s="31" t="s">
        <v>1239</v>
      </c>
      <c r="M774" s="32">
        <v>0.71</v>
      </c>
      <c r="N774" s="27" t="s">
        <v>33</v>
      </c>
      <c r="O774" s="27" t="s">
        <v>34</v>
      </c>
      <c r="P774" s="27" t="s">
        <v>168</v>
      </c>
      <c r="Q774" s="27" t="s">
        <v>1606</v>
      </c>
      <c r="R774" s="33">
        <v>70003</v>
      </c>
      <c r="S774" s="34">
        <v>42075</v>
      </c>
      <c r="T774" s="34">
        <v>42076</v>
      </c>
      <c r="U774" s="29">
        <v>-44.436</v>
      </c>
      <c r="V774" s="26">
        <v>8</v>
      </c>
      <c r="W774" s="29">
        <v>393.98</v>
      </c>
      <c r="X774" s="26">
        <v>91316</v>
      </c>
      <c r="Y774" s="35">
        <v>73.88000000000001</v>
      </c>
      <c r="Z774" s="1" t="s">
        <v>3011</v>
      </c>
      <c r="AA774" s="36">
        <v>3.8384</v>
      </c>
      <c r="AB774" s="54">
        <v>114.25420000000003</v>
      </c>
      <c r="AC774" s="54">
        <v>34.965724999999999</v>
      </c>
      <c r="AD774" s="36">
        <v>430.9676</v>
      </c>
    </row>
    <row r="775" spans="1:30" s="37" customFormat="1" ht="15.75" customHeight="1" x14ac:dyDescent="0.2">
      <c r="A775" s="26">
        <v>2896</v>
      </c>
      <c r="B775" s="27" t="s">
        <v>723</v>
      </c>
      <c r="C775" s="27" t="s">
        <v>26</v>
      </c>
      <c r="D775" s="28">
        <v>0</v>
      </c>
      <c r="E775" s="29">
        <v>22.84</v>
      </c>
      <c r="F775" s="29">
        <v>16.920000000000002</v>
      </c>
      <c r="G775" s="30" t="s">
        <v>39</v>
      </c>
      <c r="H775" s="27" t="s">
        <v>71</v>
      </c>
      <c r="I775" s="27" t="s">
        <v>49</v>
      </c>
      <c r="J775" s="27" t="s">
        <v>88</v>
      </c>
      <c r="K775" s="27" t="s">
        <v>73</v>
      </c>
      <c r="L775" s="31" t="s">
        <v>1592</v>
      </c>
      <c r="M775" s="32">
        <v>0.39</v>
      </c>
      <c r="N775" s="27" t="s">
        <v>33</v>
      </c>
      <c r="O775" s="27" t="s">
        <v>53</v>
      </c>
      <c r="P775" s="27" t="s">
        <v>84</v>
      </c>
      <c r="Q775" s="27" t="s">
        <v>724</v>
      </c>
      <c r="R775" s="33">
        <v>56001</v>
      </c>
      <c r="S775" s="34">
        <v>42075</v>
      </c>
      <c r="T775" s="34">
        <v>42077</v>
      </c>
      <c r="U775" s="29">
        <v>-83.75</v>
      </c>
      <c r="V775" s="26">
        <v>15</v>
      </c>
      <c r="W775" s="29">
        <v>370.62</v>
      </c>
      <c r="X775" s="26">
        <v>86927</v>
      </c>
      <c r="Y775" s="35">
        <v>51.93</v>
      </c>
      <c r="Z775" s="1" t="s">
        <v>3012</v>
      </c>
      <c r="AA775" s="36">
        <v>0</v>
      </c>
      <c r="AB775" s="54">
        <v>226.07820000000001</v>
      </c>
      <c r="AC775" s="54">
        <v>9.6361200000000018</v>
      </c>
      <c r="AD775" s="36">
        <v>437.45</v>
      </c>
    </row>
    <row r="776" spans="1:30" s="37" customFormat="1" ht="15.75" customHeight="1" x14ac:dyDescent="0.2">
      <c r="A776" s="26">
        <v>1027</v>
      </c>
      <c r="B776" s="27" t="s">
        <v>1593</v>
      </c>
      <c r="C776" s="27" t="s">
        <v>38</v>
      </c>
      <c r="D776" s="28">
        <v>0.1</v>
      </c>
      <c r="E776" s="29">
        <v>73.98</v>
      </c>
      <c r="F776" s="29">
        <v>4</v>
      </c>
      <c r="G776" s="30" t="s">
        <v>39</v>
      </c>
      <c r="H776" s="27" t="s">
        <v>3095</v>
      </c>
      <c r="I776" s="27" t="s">
        <v>41</v>
      </c>
      <c r="J776" s="27" t="s">
        <v>42</v>
      </c>
      <c r="K776" s="27" t="s">
        <v>73</v>
      </c>
      <c r="L776" s="31" t="s">
        <v>308</v>
      </c>
      <c r="M776" s="32">
        <v>0.79</v>
      </c>
      <c r="N776" s="27" t="s">
        <v>33</v>
      </c>
      <c r="O776" s="27" t="s">
        <v>111</v>
      </c>
      <c r="P776" s="27" t="s">
        <v>112</v>
      </c>
      <c r="Q776" s="27" t="s">
        <v>1594</v>
      </c>
      <c r="R776" s="33">
        <v>14225</v>
      </c>
      <c r="S776" s="34">
        <v>42075</v>
      </c>
      <c r="T776" s="34">
        <v>42076</v>
      </c>
      <c r="U776" s="29">
        <v>-229.87</v>
      </c>
      <c r="V776" s="26">
        <v>5</v>
      </c>
      <c r="W776" s="29">
        <v>347.23</v>
      </c>
      <c r="X776" s="26">
        <v>89004</v>
      </c>
      <c r="Y776" s="35">
        <v>205.93</v>
      </c>
      <c r="Z776" s="1" t="s">
        <v>3014</v>
      </c>
      <c r="AA776" s="36">
        <v>36.99</v>
      </c>
      <c r="AB776" s="54">
        <v>72.918299999999988</v>
      </c>
      <c r="AC776" s="54">
        <v>54.862340000000003</v>
      </c>
      <c r="AD776" s="36">
        <v>536.11</v>
      </c>
    </row>
    <row r="777" spans="1:30" s="37" customFormat="1" ht="15.75" customHeight="1" x14ac:dyDescent="0.2">
      <c r="A777" s="26">
        <v>2741</v>
      </c>
      <c r="B777" s="27" t="s">
        <v>1598</v>
      </c>
      <c r="C777" s="27" t="s">
        <v>48</v>
      </c>
      <c r="D777" s="28">
        <v>0.01</v>
      </c>
      <c r="E777" s="29">
        <v>35.99</v>
      </c>
      <c r="F777" s="29">
        <v>5.99</v>
      </c>
      <c r="G777" s="30" t="s">
        <v>39</v>
      </c>
      <c r="H777" s="27" t="s">
        <v>3095</v>
      </c>
      <c r="I777" s="27" t="s">
        <v>41</v>
      </c>
      <c r="J777" s="27" t="s">
        <v>135</v>
      </c>
      <c r="K777" s="27" t="s">
        <v>51</v>
      </c>
      <c r="L777" s="31" t="s">
        <v>1372</v>
      </c>
      <c r="M777" s="32">
        <v>0.38</v>
      </c>
      <c r="N777" s="27" t="s">
        <v>33</v>
      </c>
      <c r="O777" s="27" t="s">
        <v>60</v>
      </c>
      <c r="P777" s="27" t="s">
        <v>490</v>
      </c>
      <c r="Q777" s="27" t="s">
        <v>1599</v>
      </c>
      <c r="R777" s="33">
        <v>83605</v>
      </c>
      <c r="S777" s="34">
        <v>42075</v>
      </c>
      <c r="T777" s="34">
        <v>42082</v>
      </c>
      <c r="U777" s="29">
        <v>218.23320000000001</v>
      </c>
      <c r="V777" s="26">
        <v>10</v>
      </c>
      <c r="W777" s="29">
        <v>316.27999999999997</v>
      </c>
      <c r="X777" s="26">
        <v>89481</v>
      </c>
      <c r="Y777" s="35">
        <v>85.97999999999999</v>
      </c>
      <c r="Z777" s="1" t="s">
        <v>3013</v>
      </c>
      <c r="AA777" s="36">
        <v>3.5990000000000006</v>
      </c>
      <c r="AB777" s="54">
        <v>196.09359999999998</v>
      </c>
      <c r="AC777" s="54">
        <v>12.01864</v>
      </c>
      <c r="AD777" s="36">
        <v>88.457799999999963</v>
      </c>
    </row>
    <row r="778" spans="1:30" s="37" customFormat="1" ht="15.75" customHeight="1" x14ac:dyDescent="0.2">
      <c r="A778" s="26">
        <v>2037</v>
      </c>
      <c r="B778" s="27" t="s">
        <v>1604</v>
      </c>
      <c r="C778" s="27" t="s">
        <v>3094</v>
      </c>
      <c r="D778" s="28">
        <v>0</v>
      </c>
      <c r="E778" s="29">
        <v>73.98</v>
      </c>
      <c r="F778" s="29">
        <v>14.52</v>
      </c>
      <c r="G778" s="30" t="s">
        <v>39</v>
      </c>
      <c r="H778" s="27" t="s">
        <v>3095</v>
      </c>
      <c r="I778" s="27" t="s">
        <v>41</v>
      </c>
      <c r="J778" s="27" t="s">
        <v>42</v>
      </c>
      <c r="K778" s="27" t="s">
        <v>73</v>
      </c>
      <c r="L778" s="31" t="s">
        <v>308</v>
      </c>
      <c r="M778" s="32">
        <v>0.65</v>
      </c>
      <c r="N778" s="27" t="s">
        <v>33</v>
      </c>
      <c r="O778" s="27" t="s">
        <v>60</v>
      </c>
      <c r="P778" s="27" t="s">
        <v>277</v>
      </c>
      <c r="Q778" s="27" t="s">
        <v>916</v>
      </c>
      <c r="R778" s="33">
        <v>59715</v>
      </c>
      <c r="S778" s="34">
        <v>42075</v>
      </c>
      <c r="T778" s="34">
        <v>42077</v>
      </c>
      <c r="U778" s="29">
        <v>-88.61</v>
      </c>
      <c r="V778" s="26">
        <v>4</v>
      </c>
      <c r="W778" s="29">
        <v>305.70999999999998</v>
      </c>
      <c r="X778" s="26">
        <v>89333</v>
      </c>
      <c r="Y778" s="35">
        <v>35.980000000000004</v>
      </c>
      <c r="Z778" s="1" t="s">
        <v>3013</v>
      </c>
      <c r="AA778" s="36">
        <v>0</v>
      </c>
      <c r="AB778" s="54">
        <v>106.99849999999999</v>
      </c>
      <c r="AC778" s="54">
        <v>49.677875</v>
      </c>
      <c r="AD778" s="36">
        <v>379.79999999999995</v>
      </c>
    </row>
    <row r="779" spans="1:30" s="37" customFormat="1" ht="15.75" customHeight="1" x14ac:dyDescent="0.2">
      <c r="A779" s="26">
        <v>146</v>
      </c>
      <c r="B779" s="27" t="s">
        <v>1600</v>
      </c>
      <c r="C779" s="27" t="s">
        <v>3094</v>
      </c>
      <c r="D779" s="28">
        <v>0.01</v>
      </c>
      <c r="E779" s="29">
        <v>45.98</v>
      </c>
      <c r="F779" s="29">
        <v>4.8</v>
      </c>
      <c r="G779" s="30" t="s">
        <v>39</v>
      </c>
      <c r="H779" s="27" t="s">
        <v>3095</v>
      </c>
      <c r="I779" s="27" t="s">
        <v>29</v>
      </c>
      <c r="J779" s="27" t="s">
        <v>126</v>
      </c>
      <c r="K779" s="27" t="s">
        <v>51</v>
      </c>
      <c r="L779" s="31" t="s">
        <v>1601</v>
      </c>
      <c r="M779" s="32">
        <v>0.68</v>
      </c>
      <c r="N779" s="27" t="s">
        <v>33</v>
      </c>
      <c r="O779" s="27" t="s">
        <v>53</v>
      </c>
      <c r="P779" s="27" t="s">
        <v>187</v>
      </c>
      <c r="Q779" s="27" t="s">
        <v>1602</v>
      </c>
      <c r="R779" s="33">
        <v>76148</v>
      </c>
      <c r="S779" s="34">
        <v>42075</v>
      </c>
      <c r="T779" s="34">
        <v>42076</v>
      </c>
      <c r="U779" s="29">
        <v>133.5771</v>
      </c>
      <c r="V779" s="26">
        <v>4</v>
      </c>
      <c r="W779" s="29">
        <v>193.59</v>
      </c>
      <c r="X779" s="26">
        <v>91088</v>
      </c>
      <c r="Y779" s="35">
        <v>45.97</v>
      </c>
      <c r="Z779" s="1" t="s">
        <v>3012</v>
      </c>
      <c r="AA779" s="36">
        <v>1.8391999999999999</v>
      </c>
      <c r="AB779" s="54">
        <v>61.948799999999991</v>
      </c>
      <c r="AC779" s="54">
        <v>32.910299999999999</v>
      </c>
      <c r="AD779" s="36">
        <v>53.373699999999985</v>
      </c>
    </row>
    <row r="780" spans="1:30" s="37" customFormat="1" ht="15.75" customHeight="1" x14ac:dyDescent="0.2">
      <c r="A780" s="26">
        <v>1254</v>
      </c>
      <c r="B780" s="27" t="s">
        <v>1590</v>
      </c>
      <c r="C780" s="27" t="s">
        <v>26</v>
      </c>
      <c r="D780" s="28">
        <v>0.06</v>
      </c>
      <c r="E780" s="29">
        <v>80.98</v>
      </c>
      <c r="F780" s="29">
        <v>35</v>
      </c>
      <c r="G780" s="30" t="s">
        <v>39</v>
      </c>
      <c r="H780" s="27" t="s">
        <v>71</v>
      </c>
      <c r="I780" s="27" t="s">
        <v>49</v>
      </c>
      <c r="J780" s="27" t="s">
        <v>78</v>
      </c>
      <c r="K780" s="27" t="s">
        <v>65</v>
      </c>
      <c r="L780" s="31" t="s">
        <v>224</v>
      </c>
      <c r="M780" s="32">
        <v>0.81</v>
      </c>
      <c r="N780" s="27" t="s">
        <v>33</v>
      </c>
      <c r="O780" s="27" t="s">
        <v>53</v>
      </c>
      <c r="P780" s="27" t="s">
        <v>187</v>
      </c>
      <c r="Q780" s="27" t="s">
        <v>1591</v>
      </c>
      <c r="R780" s="33">
        <v>77530</v>
      </c>
      <c r="S780" s="34">
        <v>42075</v>
      </c>
      <c r="T780" s="34">
        <v>42076</v>
      </c>
      <c r="U780" s="29">
        <v>-218.77</v>
      </c>
      <c r="V780" s="26">
        <v>2</v>
      </c>
      <c r="W780" s="29">
        <v>172.79</v>
      </c>
      <c r="X780" s="26">
        <v>89983</v>
      </c>
      <c r="Y780" s="35">
        <v>5.98</v>
      </c>
      <c r="Z780" s="1" t="s">
        <v>3012</v>
      </c>
      <c r="AA780" s="36">
        <v>9.7176000000000009</v>
      </c>
      <c r="AB780" s="54">
        <v>32.830099999999987</v>
      </c>
      <c r="AC780" s="54">
        <v>69.979950000000002</v>
      </c>
      <c r="AD780" s="36">
        <v>346.8424</v>
      </c>
    </row>
    <row r="781" spans="1:30" s="37" customFormat="1" ht="15.75" customHeight="1" x14ac:dyDescent="0.2">
      <c r="A781" s="26">
        <v>2593</v>
      </c>
      <c r="B781" s="27" t="s">
        <v>1595</v>
      </c>
      <c r="C781" s="27" t="s">
        <v>48</v>
      </c>
      <c r="D781" s="28">
        <v>0.01</v>
      </c>
      <c r="E781" s="29">
        <v>85.99</v>
      </c>
      <c r="F781" s="29">
        <v>0.99</v>
      </c>
      <c r="G781" s="30" t="s">
        <v>39</v>
      </c>
      <c r="H781" s="27" t="s">
        <v>94</v>
      </c>
      <c r="I781" s="27" t="s">
        <v>41</v>
      </c>
      <c r="J781" s="27" t="s">
        <v>135</v>
      </c>
      <c r="K781" s="27" t="s">
        <v>51</v>
      </c>
      <c r="L781" s="31" t="s">
        <v>1596</v>
      </c>
      <c r="M781" s="32">
        <v>0.85</v>
      </c>
      <c r="N781" s="27" t="s">
        <v>33</v>
      </c>
      <c r="O781" s="27" t="s">
        <v>34</v>
      </c>
      <c r="P781" s="27" t="s">
        <v>75</v>
      </c>
      <c r="Q781" s="27" t="s">
        <v>1597</v>
      </c>
      <c r="R781" s="33">
        <v>30605</v>
      </c>
      <c r="S781" s="34">
        <v>42075</v>
      </c>
      <c r="T781" s="34">
        <v>42080</v>
      </c>
      <c r="U781" s="29">
        <v>311.73</v>
      </c>
      <c r="V781" s="26">
        <v>2</v>
      </c>
      <c r="W781" s="29">
        <v>146.16999999999999</v>
      </c>
      <c r="X781" s="26">
        <v>87773</v>
      </c>
      <c r="Y781" s="35">
        <v>73.98</v>
      </c>
      <c r="Z781" s="1" t="s">
        <v>3011</v>
      </c>
      <c r="AA781" s="36">
        <v>1.7198</v>
      </c>
      <c r="AB781" s="54">
        <v>21.925500000000003</v>
      </c>
      <c r="AC781" s="54">
        <v>62.122249999999994</v>
      </c>
      <c r="AD781" s="36">
        <v>-168.26980000000006</v>
      </c>
    </row>
    <row r="782" spans="1:30" s="37" customFormat="1" ht="15.75" customHeight="1" x14ac:dyDescent="0.2">
      <c r="A782" s="26">
        <v>903</v>
      </c>
      <c r="B782" s="27" t="s">
        <v>1603</v>
      </c>
      <c r="C782" s="27" t="s">
        <v>3094</v>
      </c>
      <c r="D782" s="28">
        <v>0</v>
      </c>
      <c r="E782" s="29">
        <v>5.98</v>
      </c>
      <c r="F782" s="29">
        <v>1.49</v>
      </c>
      <c r="G782" s="30" t="s">
        <v>39</v>
      </c>
      <c r="H782" s="27" t="s">
        <v>40</v>
      </c>
      <c r="I782" s="27" t="s">
        <v>49</v>
      </c>
      <c r="J782" s="27" t="s">
        <v>72</v>
      </c>
      <c r="K782" s="27" t="s">
        <v>73</v>
      </c>
      <c r="L782" s="31" t="s">
        <v>1587</v>
      </c>
      <c r="M782" s="32">
        <v>0.39</v>
      </c>
      <c r="N782" s="27" t="s">
        <v>33</v>
      </c>
      <c r="O782" s="27" t="s">
        <v>111</v>
      </c>
      <c r="P782" s="27" t="s">
        <v>403</v>
      </c>
      <c r="Q782" s="27" t="s">
        <v>1108</v>
      </c>
      <c r="R782" s="33">
        <v>1887</v>
      </c>
      <c r="S782" s="34">
        <v>42075</v>
      </c>
      <c r="T782" s="34">
        <v>42077</v>
      </c>
      <c r="U782" s="29">
        <v>80.674800000000005</v>
      </c>
      <c r="V782" s="26">
        <v>18</v>
      </c>
      <c r="W782" s="29">
        <v>116.92</v>
      </c>
      <c r="X782" s="26">
        <v>90806</v>
      </c>
      <c r="Y782" s="35">
        <v>47.97</v>
      </c>
      <c r="Z782" s="1" t="s">
        <v>3014</v>
      </c>
      <c r="AA782" s="36">
        <v>0</v>
      </c>
      <c r="AB782" s="54">
        <v>71.321200000000005</v>
      </c>
      <c r="AC782" s="54">
        <v>2.533266666666667</v>
      </c>
      <c r="AD782" s="36">
        <v>34.755200000000002</v>
      </c>
    </row>
    <row r="783" spans="1:30" s="37" customFormat="1" ht="15.75" customHeight="1" x14ac:dyDescent="0.2">
      <c r="A783" s="26">
        <v>3036</v>
      </c>
      <c r="B783" s="27" t="s">
        <v>564</v>
      </c>
      <c r="C783" s="27" t="s">
        <v>26</v>
      </c>
      <c r="D783" s="28">
        <v>0.08</v>
      </c>
      <c r="E783" s="29">
        <v>178.47</v>
      </c>
      <c r="F783" s="29">
        <v>19.989999999999998</v>
      </c>
      <c r="G783" s="30" t="s">
        <v>39</v>
      </c>
      <c r="H783" s="27" t="s">
        <v>71</v>
      </c>
      <c r="I783" s="27" t="s">
        <v>49</v>
      </c>
      <c r="J783" s="27" t="s">
        <v>78</v>
      </c>
      <c r="K783" s="27" t="s">
        <v>73</v>
      </c>
      <c r="L783" s="31" t="s">
        <v>1011</v>
      </c>
      <c r="M783" s="32">
        <v>0.55000000000000004</v>
      </c>
      <c r="N783" s="27" t="s">
        <v>33</v>
      </c>
      <c r="O783" s="27" t="s">
        <v>53</v>
      </c>
      <c r="P783" s="27" t="s">
        <v>565</v>
      </c>
      <c r="Q783" s="27" t="s">
        <v>566</v>
      </c>
      <c r="R783" s="33">
        <v>58554</v>
      </c>
      <c r="S783" s="34">
        <v>42076</v>
      </c>
      <c r="T783" s="34">
        <v>42079</v>
      </c>
      <c r="U783" s="29">
        <v>2267.2199999999998</v>
      </c>
      <c r="V783" s="26">
        <v>22</v>
      </c>
      <c r="W783" s="29">
        <v>3802.01</v>
      </c>
      <c r="X783" s="26">
        <v>89130</v>
      </c>
      <c r="Y783" s="35">
        <v>4.08</v>
      </c>
      <c r="Z783" s="1" t="s">
        <v>3012</v>
      </c>
      <c r="AA783" s="36">
        <v>314.10719999999998</v>
      </c>
      <c r="AB783" s="54">
        <v>1710.9044999999999</v>
      </c>
      <c r="AC783" s="54">
        <v>95.05025000000002</v>
      </c>
      <c r="AD783" s="36">
        <v>1200.6928000000007</v>
      </c>
    </row>
    <row r="784" spans="1:30" s="37" customFormat="1" ht="15.75" customHeight="1" x14ac:dyDescent="0.2">
      <c r="A784" s="26">
        <v>2484</v>
      </c>
      <c r="B784" s="27" t="s">
        <v>1619</v>
      </c>
      <c r="C784" s="27" t="s">
        <v>116</v>
      </c>
      <c r="D784" s="28">
        <v>0.03</v>
      </c>
      <c r="E784" s="29">
        <v>111.03</v>
      </c>
      <c r="F784" s="29">
        <v>8.64</v>
      </c>
      <c r="G784" s="30" t="s">
        <v>39</v>
      </c>
      <c r="H784" s="27" t="s">
        <v>94</v>
      </c>
      <c r="I784" s="27" t="s">
        <v>49</v>
      </c>
      <c r="J784" s="27" t="s">
        <v>78</v>
      </c>
      <c r="K784" s="27" t="s">
        <v>73</v>
      </c>
      <c r="L784" s="31" t="s">
        <v>1622</v>
      </c>
      <c r="M784" s="32">
        <v>0.78</v>
      </c>
      <c r="N784" s="27" t="s">
        <v>33</v>
      </c>
      <c r="O784" s="27" t="s">
        <v>34</v>
      </c>
      <c r="P784" s="27" t="s">
        <v>123</v>
      </c>
      <c r="Q784" s="27" t="s">
        <v>1621</v>
      </c>
      <c r="R784" s="33">
        <v>33881</v>
      </c>
      <c r="S784" s="34">
        <v>42076</v>
      </c>
      <c r="T784" s="34">
        <v>42077</v>
      </c>
      <c r="U784" s="29">
        <v>366.54</v>
      </c>
      <c r="V784" s="26">
        <v>8</v>
      </c>
      <c r="W784" s="29">
        <v>900.12</v>
      </c>
      <c r="X784" s="26">
        <v>88998</v>
      </c>
      <c r="Y784" s="35">
        <v>125.92</v>
      </c>
      <c r="Z784" s="1" t="s">
        <v>3011</v>
      </c>
      <c r="AA784" s="36">
        <v>26.647199999999998</v>
      </c>
      <c r="AB784" s="54">
        <v>198.02639999999997</v>
      </c>
      <c r="AC784" s="54">
        <v>87.761700000000005</v>
      </c>
      <c r="AD784" s="36">
        <v>498.2928</v>
      </c>
    </row>
    <row r="785" spans="1:30" s="37" customFormat="1" ht="15.75" customHeight="1" x14ac:dyDescent="0.2">
      <c r="A785" s="26">
        <v>2468</v>
      </c>
      <c r="B785" s="27" t="s">
        <v>1611</v>
      </c>
      <c r="C785" s="27" t="s">
        <v>26</v>
      </c>
      <c r="D785" s="28">
        <v>0.04</v>
      </c>
      <c r="E785" s="29">
        <v>65.989999999999995</v>
      </c>
      <c r="F785" s="29">
        <v>8.99</v>
      </c>
      <c r="G785" s="30" t="s">
        <v>39</v>
      </c>
      <c r="H785" s="27" t="s">
        <v>94</v>
      </c>
      <c r="I785" s="27" t="s">
        <v>41</v>
      </c>
      <c r="J785" s="27" t="s">
        <v>135</v>
      </c>
      <c r="K785" s="27" t="s">
        <v>73</v>
      </c>
      <c r="L785" s="31" t="s">
        <v>1612</v>
      </c>
      <c r="M785" s="32">
        <v>0.55000000000000004</v>
      </c>
      <c r="N785" s="27" t="s">
        <v>33</v>
      </c>
      <c r="O785" s="27" t="s">
        <v>34</v>
      </c>
      <c r="P785" s="27" t="s">
        <v>97</v>
      </c>
      <c r="Q785" s="27" t="s">
        <v>1613</v>
      </c>
      <c r="R785" s="33">
        <v>28144</v>
      </c>
      <c r="S785" s="34">
        <v>42076</v>
      </c>
      <c r="T785" s="34">
        <v>42077</v>
      </c>
      <c r="U785" s="29">
        <v>-335.041</v>
      </c>
      <c r="V785" s="26">
        <v>13</v>
      </c>
      <c r="W785" s="29">
        <v>724.57</v>
      </c>
      <c r="X785" s="26">
        <v>88137</v>
      </c>
      <c r="Y785" s="35">
        <v>99.96</v>
      </c>
      <c r="Z785" s="1" t="s">
        <v>3011</v>
      </c>
      <c r="AA785" s="36">
        <v>34.314799999999998</v>
      </c>
      <c r="AB785" s="54">
        <v>326.05649999999997</v>
      </c>
      <c r="AC785" s="54">
        <v>30.654884615384617</v>
      </c>
      <c r="AD785" s="36">
        <v>1016.3062</v>
      </c>
    </row>
    <row r="786" spans="1:30" s="37" customFormat="1" ht="15.75" customHeight="1" x14ac:dyDescent="0.2">
      <c r="A786" s="26">
        <v>1036</v>
      </c>
      <c r="B786" s="27" t="s">
        <v>1609</v>
      </c>
      <c r="C786" s="27" t="s">
        <v>26</v>
      </c>
      <c r="D786" s="28">
        <v>0.03</v>
      </c>
      <c r="E786" s="29">
        <v>99.99</v>
      </c>
      <c r="F786" s="29">
        <v>19.989999999999998</v>
      </c>
      <c r="G786" s="30" t="s">
        <v>39</v>
      </c>
      <c r="H786" s="27" t="s">
        <v>71</v>
      </c>
      <c r="I786" s="27" t="s">
        <v>41</v>
      </c>
      <c r="J786" s="27" t="s">
        <v>42</v>
      </c>
      <c r="K786" s="27" t="s">
        <v>73</v>
      </c>
      <c r="L786" s="31" t="s">
        <v>1580</v>
      </c>
      <c r="M786" s="32">
        <v>0.52</v>
      </c>
      <c r="N786" s="27" t="s">
        <v>33</v>
      </c>
      <c r="O786" s="27" t="s">
        <v>111</v>
      </c>
      <c r="P786" s="27" t="s">
        <v>317</v>
      </c>
      <c r="Q786" s="27" t="s">
        <v>1610</v>
      </c>
      <c r="R786" s="33">
        <v>43017</v>
      </c>
      <c r="S786" s="34">
        <v>42076</v>
      </c>
      <c r="T786" s="34">
        <v>42077</v>
      </c>
      <c r="U786" s="29">
        <v>293.66000000000003</v>
      </c>
      <c r="V786" s="26">
        <v>6</v>
      </c>
      <c r="W786" s="29">
        <v>598.38</v>
      </c>
      <c r="X786" s="26">
        <v>90710</v>
      </c>
      <c r="Y786" s="35">
        <v>65.949999999999989</v>
      </c>
      <c r="Z786" s="1" t="s">
        <v>3014</v>
      </c>
      <c r="AA786" s="36">
        <v>17.998199999999997</v>
      </c>
      <c r="AB786" s="54">
        <v>287.22239999999999</v>
      </c>
      <c r="AC786" s="54">
        <v>51.8596</v>
      </c>
      <c r="AD786" s="36">
        <v>266.73179999999996</v>
      </c>
    </row>
    <row r="787" spans="1:30" s="37" customFormat="1" ht="15.75" customHeight="1" x14ac:dyDescent="0.2">
      <c r="A787" s="26">
        <v>2285</v>
      </c>
      <c r="B787" s="27" t="s">
        <v>1617</v>
      </c>
      <c r="C787" s="27" t="s">
        <v>116</v>
      </c>
      <c r="D787" s="28">
        <v>0.02</v>
      </c>
      <c r="E787" s="29">
        <v>17.7</v>
      </c>
      <c r="F787" s="29">
        <v>9.4700000000000006</v>
      </c>
      <c r="G787" s="30" t="s">
        <v>87</v>
      </c>
      <c r="H787" s="27" t="s">
        <v>94</v>
      </c>
      <c r="I787" s="27" t="s">
        <v>49</v>
      </c>
      <c r="J787" s="27" t="s">
        <v>78</v>
      </c>
      <c r="K787" s="27" t="s">
        <v>73</v>
      </c>
      <c r="L787" s="31" t="s">
        <v>1051</v>
      </c>
      <c r="M787" s="32">
        <v>0.59</v>
      </c>
      <c r="N787" s="27" t="s">
        <v>33</v>
      </c>
      <c r="O787" s="27" t="s">
        <v>34</v>
      </c>
      <c r="P787" s="27" t="s">
        <v>271</v>
      </c>
      <c r="Q787" s="27" t="s">
        <v>1618</v>
      </c>
      <c r="R787" s="33">
        <v>29730</v>
      </c>
      <c r="S787" s="34">
        <v>42076</v>
      </c>
      <c r="T787" s="34">
        <v>42078</v>
      </c>
      <c r="U787" s="29">
        <v>-85.022000000000006</v>
      </c>
      <c r="V787" s="26">
        <v>21</v>
      </c>
      <c r="W787" s="29">
        <v>374.6</v>
      </c>
      <c r="X787" s="26">
        <v>90148</v>
      </c>
      <c r="Y787" s="35">
        <v>178.39</v>
      </c>
      <c r="Z787" s="1" t="s">
        <v>3011</v>
      </c>
      <c r="AA787" s="36">
        <v>7.4339999999999993</v>
      </c>
      <c r="AB787" s="54">
        <v>153.58600000000001</v>
      </c>
      <c r="AC787" s="54">
        <v>10.524476190476189</v>
      </c>
      <c r="AD787" s="36">
        <v>442.71800000000002</v>
      </c>
    </row>
    <row r="788" spans="1:30" s="37" customFormat="1" ht="15.75" customHeight="1" x14ac:dyDescent="0.2">
      <c r="A788" s="26">
        <v>2484</v>
      </c>
      <c r="B788" s="27" t="s">
        <v>1619</v>
      </c>
      <c r="C788" s="27" t="s">
        <v>116</v>
      </c>
      <c r="D788" s="28">
        <v>0.05</v>
      </c>
      <c r="E788" s="29">
        <v>6.48</v>
      </c>
      <c r="F788" s="29">
        <v>7.91</v>
      </c>
      <c r="G788" s="30" t="s">
        <v>39</v>
      </c>
      <c r="H788" s="27" t="s">
        <v>94</v>
      </c>
      <c r="I788" s="27" t="s">
        <v>49</v>
      </c>
      <c r="J788" s="27" t="s">
        <v>88</v>
      </c>
      <c r="K788" s="27" t="s">
        <v>73</v>
      </c>
      <c r="L788" s="31" t="s">
        <v>1620</v>
      </c>
      <c r="M788" s="32">
        <v>0.37</v>
      </c>
      <c r="N788" s="27" t="s">
        <v>33</v>
      </c>
      <c r="O788" s="27" t="s">
        <v>34</v>
      </c>
      <c r="P788" s="27" t="s">
        <v>123</v>
      </c>
      <c r="Q788" s="27" t="s">
        <v>1621</v>
      </c>
      <c r="R788" s="33">
        <v>33881</v>
      </c>
      <c r="S788" s="34">
        <v>42076</v>
      </c>
      <c r="T788" s="34">
        <v>42077</v>
      </c>
      <c r="U788" s="29">
        <v>322.12200000000001</v>
      </c>
      <c r="V788" s="26">
        <v>16</v>
      </c>
      <c r="W788" s="29">
        <v>109.99</v>
      </c>
      <c r="X788" s="26">
        <v>88998</v>
      </c>
      <c r="Y788" s="35">
        <v>6.4200000000000008</v>
      </c>
      <c r="Z788" s="1" t="s">
        <v>3011</v>
      </c>
      <c r="AA788" s="36">
        <v>5.1840000000000011</v>
      </c>
      <c r="AB788" s="54">
        <v>69.293700000000001</v>
      </c>
      <c r="AC788" s="54">
        <v>2.5435187500000001</v>
      </c>
      <c r="AD788" s="36">
        <v>-225.22600000000006</v>
      </c>
    </row>
    <row r="789" spans="1:30" s="37" customFormat="1" ht="15.75" customHeight="1" x14ac:dyDescent="0.2">
      <c r="A789" s="26">
        <v>1035</v>
      </c>
      <c r="B789" s="27" t="s">
        <v>1607</v>
      </c>
      <c r="C789" s="27" t="s">
        <v>26</v>
      </c>
      <c r="D789" s="28">
        <v>7.0000000000000007E-2</v>
      </c>
      <c r="E789" s="29">
        <v>125.99</v>
      </c>
      <c r="F789" s="29">
        <v>2.5</v>
      </c>
      <c r="G789" s="30" t="s">
        <v>39</v>
      </c>
      <c r="H789" s="27" t="s">
        <v>71</v>
      </c>
      <c r="I789" s="27" t="s">
        <v>41</v>
      </c>
      <c r="J789" s="27" t="s">
        <v>135</v>
      </c>
      <c r="K789" s="27" t="s">
        <v>73</v>
      </c>
      <c r="L789" s="31" t="s">
        <v>948</v>
      </c>
      <c r="M789" s="32">
        <v>0.6</v>
      </c>
      <c r="N789" s="27" t="s">
        <v>33</v>
      </c>
      <c r="O789" s="27" t="s">
        <v>111</v>
      </c>
      <c r="P789" s="27" t="s">
        <v>317</v>
      </c>
      <c r="Q789" s="27" t="s">
        <v>1608</v>
      </c>
      <c r="R789" s="33">
        <v>43015</v>
      </c>
      <c r="S789" s="34">
        <v>42076</v>
      </c>
      <c r="T789" s="34">
        <v>42076</v>
      </c>
      <c r="U789" s="29">
        <v>-604.40599999999995</v>
      </c>
      <c r="V789" s="26">
        <v>1</v>
      </c>
      <c r="W789" s="29">
        <v>100.59</v>
      </c>
      <c r="X789" s="26">
        <v>90710</v>
      </c>
      <c r="Y789" s="35">
        <v>17.68</v>
      </c>
      <c r="Z789" s="1" t="s">
        <v>3014</v>
      </c>
      <c r="AA789" s="36">
        <v>8.8193000000000001</v>
      </c>
      <c r="AB789" s="54">
        <v>40.236000000000004</v>
      </c>
      <c r="AC789" s="54">
        <v>60.353999999999999</v>
      </c>
      <c r="AD789" s="36">
        <v>693.67669999999998</v>
      </c>
    </row>
    <row r="790" spans="1:30" s="37" customFormat="1" ht="15.75" customHeight="1" x14ac:dyDescent="0.2">
      <c r="A790" s="26">
        <v>600</v>
      </c>
      <c r="B790" s="27" t="s">
        <v>1614</v>
      </c>
      <c r="C790" s="27" t="s">
        <v>116</v>
      </c>
      <c r="D790" s="28">
        <v>0.06</v>
      </c>
      <c r="E790" s="29">
        <v>6.48</v>
      </c>
      <c r="F790" s="29">
        <v>7.37</v>
      </c>
      <c r="G790" s="30" t="s">
        <v>39</v>
      </c>
      <c r="H790" s="27" t="s">
        <v>94</v>
      </c>
      <c r="I790" s="27" t="s">
        <v>49</v>
      </c>
      <c r="J790" s="27" t="s">
        <v>88</v>
      </c>
      <c r="K790" s="27" t="s">
        <v>73</v>
      </c>
      <c r="L790" s="31" t="s">
        <v>1615</v>
      </c>
      <c r="M790" s="32">
        <v>0.37</v>
      </c>
      <c r="N790" s="27" t="s">
        <v>33</v>
      </c>
      <c r="O790" s="27" t="s">
        <v>111</v>
      </c>
      <c r="P790" s="27" t="s">
        <v>418</v>
      </c>
      <c r="Q790" s="27" t="s">
        <v>1616</v>
      </c>
      <c r="R790" s="33">
        <v>21136</v>
      </c>
      <c r="S790" s="34">
        <v>42076</v>
      </c>
      <c r="T790" s="34">
        <v>42077</v>
      </c>
      <c r="U790" s="29">
        <v>-75.44</v>
      </c>
      <c r="V790" s="26">
        <v>5</v>
      </c>
      <c r="W790" s="29">
        <v>32.39</v>
      </c>
      <c r="X790" s="26">
        <v>87579</v>
      </c>
      <c r="Y790" s="35">
        <v>6.4300000000000006</v>
      </c>
      <c r="Z790" s="1" t="s">
        <v>3014</v>
      </c>
      <c r="AA790" s="36">
        <v>1.9440000000000002</v>
      </c>
      <c r="AB790" s="54">
        <v>20.4057</v>
      </c>
      <c r="AC790" s="54">
        <v>2.3968599999999998</v>
      </c>
      <c r="AD790" s="36">
        <v>98.515999999999991</v>
      </c>
    </row>
    <row r="791" spans="1:30" s="37" customFormat="1" ht="15.75" customHeight="1" x14ac:dyDescent="0.2">
      <c r="A791" s="26">
        <v>573</v>
      </c>
      <c r="B791" s="27" t="s">
        <v>1380</v>
      </c>
      <c r="C791" s="27" t="s">
        <v>26</v>
      </c>
      <c r="D791" s="28">
        <v>0.05</v>
      </c>
      <c r="E791" s="29">
        <v>4.13</v>
      </c>
      <c r="F791" s="29">
        <v>5.04</v>
      </c>
      <c r="G791" s="30" t="s">
        <v>39</v>
      </c>
      <c r="H791" s="27" t="s">
        <v>71</v>
      </c>
      <c r="I791" s="27" t="s">
        <v>49</v>
      </c>
      <c r="J791" s="27" t="s">
        <v>72</v>
      </c>
      <c r="K791" s="27" t="s">
        <v>73</v>
      </c>
      <c r="L791" s="31" t="s">
        <v>1019</v>
      </c>
      <c r="M791" s="32">
        <v>0.38</v>
      </c>
      <c r="N791" s="27" t="s">
        <v>33</v>
      </c>
      <c r="O791" s="27" t="s">
        <v>53</v>
      </c>
      <c r="P791" s="27" t="s">
        <v>103</v>
      </c>
      <c r="Q791" s="27" t="s">
        <v>1382</v>
      </c>
      <c r="R791" s="33">
        <v>61554</v>
      </c>
      <c r="S791" s="34">
        <v>42076</v>
      </c>
      <c r="T791" s="34">
        <v>42077</v>
      </c>
      <c r="U791" s="29">
        <v>-12.1555</v>
      </c>
      <c r="V791" s="26">
        <v>1</v>
      </c>
      <c r="W791" s="29">
        <v>5.84</v>
      </c>
      <c r="X791" s="26">
        <v>86555</v>
      </c>
      <c r="Y791" s="35">
        <v>111</v>
      </c>
      <c r="Z791" s="1" t="s">
        <v>3012</v>
      </c>
      <c r="AA791" s="36">
        <v>0.20650000000000002</v>
      </c>
      <c r="AB791" s="54">
        <v>3.6208</v>
      </c>
      <c r="AC791" s="54">
        <v>2.2191999999999998</v>
      </c>
      <c r="AD791" s="36">
        <v>12.748999999999999</v>
      </c>
    </row>
    <row r="792" spans="1:30" s="37" customFormat="1" ht="15.75" customHeight="1" x14ac:dyDescent="0.2">
      <c r="A792" s="26">
        <v>373</v>
      </c>
      <c r="B792" s="27" t="s">
        <v>1638</v>
      </c>
      <c r="C792" s="27" t="s">
        <v>3094</v>
      </c>
      <c r="D792" s="28">
        <v>0.02</v>
      </c>
      <c r="E792" s="29">
        <v>200.98</v>
      </c>
      <c r="F792" s="29">
        <v>55.96</v>
      </c>
      <c r="G792" s="30" t="s">
        <v>27</v>
      </c>
      <c r="H792" s="27" t="s">
        <v>3095</v>
      </c>
      <c r="I792" s="27" t="s">
        <v>29</v>
      </c>
      <c r="J792" s="27" t="s">
        <v>117</v>
      </c>
      <c r="K792" s="27" t="s">
        <v>31</v>
      </c>
      <c r="L792" s="31" t="s">
        <v>1639</v>
      </c>
      <c r="M792" s="32">
        <v>0.75</v>
      </c>
      <c r="N792" s="27" t="s">
        <v>33</v>
      </c>
      <c r="O792" s="27" t="s">
        <v>53</v>
      </c>
      <c r="P792" s="27" t="s">
        <v>289</v>
      </c>
      <c r="Q792" s="27" t="s">
        <v>1163</v>
      </c>
      <c r="R792" s="33">
        <v>48234</v>
      </c>
      <c r="S792" s="34">
        <v>42077</v>
      </c>
      <c r="T792" s="34">
        <v>42079</v>
      </c>
      <c r="U792" s="29">
        <v>-163.63</v>
      </c>
      <c r="V792" s="26">
        <v>45</v>
      </c>
      <c r="W792" s="29">
        <v>9539.6</v>
      </c>
      <c r="X792" s="26">
        <v>24193</v>
      </c>
      <c r="Y792" s="35">
        <v>154.04</v>
      </c>
      <c r="Z792" s="1" t="s">
        <v>3012</v>
      </c>
      <c r="AA792" s="36">
        <v>180.88199999999998</v>
      </c>
      <c r="AB792" s="54">
        <v>2384.9</v>
      </c>
      <c r="AC792" s="54">
        <v>158.99333333333334</v>
      </c>
      <c r="AD792" s="36">
        <v>9466.3880000000008</v>
      </c>
    </row>
    <row r="793" spans="1:30" s="37" customFormat="1" ht="15.75" customHeight="1" x14ac:dyDescent="0.2">
      <c r="A793" s="26">
        <v>604</v>
      </c>
      <c r="B793" s="27" t="s">
        <v>741</v>
      </c>
      <c r="C793" s="27" t="s">
        <v>26</v>
      </c>
      <c r="D793" s="28">
        <v>0.09</v>
      </c>
      <c r="E793" s="29">
        <v>154.13</v>
      </c>
      <c r="F793" s="29">
        <v>69</v>
      </c>
      <c r="G793" s="30" t="s">
        <v>87</v>
      </c>
      <c r="H793" s="27" t="s">
        <v>94</v>
      </c>
      <c r="I793" s="27" t="s">
        <v>29</v>
      </c>
      <c r="J793" s="27" t="s">
        <v>30</v>
      </c>
      <c r="K793" s="27" t="s">
        <v>65</v>
      </c>
      <c r="L793" s="31" t="s">
        <v>924</v>
      </c>
      <c r="M793" s="32">
        <v>0.68</v>
      </c>
      <c r="N793" s="27" t="s">
        <v>33</v>
      </c>
      <c r="O793" s="27" t="s">
        <v>60</v>
      </c>
      <c r="P793" s="27" t="s">
        <v>90</v>
      </c>
      <c r="Q793" s="27" t="s">
        <v>100</v>
      </c>
      <c r="R793" s="33">
        <v>90045</v>
      </c>
      <c r="S793" s="34">
        <v>42077</v>
      </c>
      <c r="T793" s="34">
        <v>42078</v>
      </c>
      <c r="U793" s="29">
        <v>-1763.7476999999999</v>
      </c>
      <c r="V793" s="26">
        <v>38</v>
      </c>
      <c r="W793" s="29">
        <v>5679.59</v>
      </c>
      <c r="X793" s="26">
        <v>28647</v>
      </c>
      <c r="Y793" s="35">
        <v>154.04</v>
      </c>
      <c r="Z793" s="1" t="s">
        <v>3013</v>
      </c>
      <c r="AA793" s="36">
        <v>527.12459999999999</v>
      </c>
      <c r="AB793" s="54">
        <v>1817.4687999999999</v>
      </c>
      <c r="AC793" s="54">
        <v>101.63476842105264</v>
      </c>
      <c r="AD793" s="36">
        <v>6847.2130999999999</v>
      </c>
    </row>
    <row r="794" spans="1:30" s="37" customFormat="1" ht="15.75" customHeight="1" x14ac:dyDescent="0.2">
      <c r="A794" s="26">
        <v>375</v>
      </c>
      <c r="B794" s="27" t="s">
        <v>1640</v>
      </c>
      <c r="C794" s="27" t="s">
        <v>3094</v>
      </c>
      <c r="D794" s="28">
        <v>0.02</v>
      </c>
      <c r="E794" s="29">
        <v>200.98</v>
      </c>
      <c r="F794" s="29">
        <v>55.96</v>
      </c>
      <c r="G794" s="30" t="s">
        <v>27</v>
      </c>
      <c r="H794" s="27" t="s">
        <v>3095</v>
      </c>
      <c r="I794" s="27" t="s">
        <v>29</v>
      </c>
      <c r="J794" s="27" t="s">
        <v>117</v>
      </c>
      <c r="K794" s="27" t="s">
        <v>31</v>
      </c>
      <c r="L794" s="31" t="s">
        <v>1639</v>
      </c>
      <c r="M794" s="32">
        <v>0.75</v>
      </c>
      <c r="N794" s="27" t="s">
        <v>33</v>
      </c>
      <c r="O794" s="27" t="s">
        <v>34</v>
      </c>
      <c r="P794" s="27" t="s">
        <v>400</v>
      </c>
      <c r="Q794" s="27" t="s">
        <v>1641</v>
      </c>
      <c r="R794" s="33">
        <v>37814</v>
      </c>
      <c r="S794" s="34">
        <v>42077</v>
      </c>
      <c r="T794" s="34">
        <v>42079</v>
      </c>
      <c r="U794" s="29">
        <v>-224.9478</v>
      </c>
      <c r="V794" s="26">
        <v>11</v>
      </c>
      <c r="W794" s="29">
        <v>2331.9</v>
      </c>
      <c r="X794" s="26">
        <v>90917</v>
      </c>
      <c r="Y794" s="35">
        <v>400.88</v>
      </c>
      <c r="Z794" s="1" t="s">
        <v>3011</v>
      </c>
      <c r="AA794" s="36">
        <v>44.215599999999995</v>
      </c>
      <c r="AB794" s="54">
        <v>582.97500000000002</v>
      </c>
      <c r="AC794" s="54">
        <v>158.99318181818182</v>
      </c>
      <c r="AD794" s="36">
        <v>2456.6722</v>
      </c>
    </row>
    <row r="795" spans="1:30" s="37" customFormat="1" ht="15.75" customHeight="1" x14ac:dyDescent="0.2">
      <c r="A795" s="26">
        <v>2345</v>
      </c>
      <c r="B795" s="27" t="s">
        <v>1631</v>
      </c>
      <c r="C795" s="27" t="s">
        <v>116</v>
      </c>
      <c r="D795" s="28">
        <v>7.0000000000000007E-2</v>
      </c>
      <c r="E795" s="29">
        <v>200.98</v>
      </c>
      <c r="F795" s="29">
        <v>23.76</v>
      </c>
      <c r="G795" s="30" t="s">
        <v>27</v>
      </c>
      <c r="H795" s="27" t="s">
        <v>94</v>
      </c>
      <c r="I795" s="27" t="s">
        <v>29</v>
      </c>
      <c r="J795" s="27" t="s">
        <v>109</v>
      </c>
      <c r="K795" s="27" t="s">
        <v>58</v>
      </c>
      <c r="L795" s="31" t="s">
        <v>1632</v>
      </c>
      <c r="M795" s="32">
        <v>0.57999999999999996</v>
      </c>
      <c r="N795" s="27" t="s">
        <v>33</v>
      </c>
      <c r="O795" s="27" t="s">
        <v>34</v>
      </c>
      <c r="P795" s="27" t="s">
        <v>388</v>
      </c>
      <c r="Q795" s="27" t="s">
        <v>827</v>
      </c>
      <c r="R795" s="33">
        <v>42003</v>
      </c>
      <c r="S795" s="34">
        <v>42077</v>
      </c>
      <c r="T795" s="34">
        <v>42078</v>
      </c>
      <c r="U795" s="29">
        <v>-132.42599999999999</v>
      </c>
      <c r="V795" s="26">
        <v>9</v>
      </c>
      <c r="W795" s="29">
        <v>1805.9</v>
      </c>
      <c r="X795" s="26">
        <v>89504</v>
      </c>
      <c r="Y795" s="35">
        <v>45.11</v>
      </c>
      <c r="Z795" s="1" t="s">
        <v>3011</v>
      </c>
      <c r="AA795" s="36">
        <v>126.6174</v>
      </c>
      <c r="AB795" s="54">
        <v>758.47800000000007</v>
      </c>
      <c r="AC795" s="54">
        <v>116.38022222222222</v>
      </c>
      <c r="AD795" s="36">
        <v>1787.9486000000002</v>
      </c>
    </row>
    <row r="796" spans="1:30" s="37" customFormat="1" ht="15.75" customHeight="1" x14ac:dyDescent="0.2">
      <c r="A796" s="26">
        <v>605</v>
      </c>
      <c r="B796" s="27" t="s">
        <v>1623</v>
      </c>
      <c r="C796" s="27" t="s">
        <v>26</v>
      </c>
      <c r="D796" s="28">
        <v>0.09</v>
      </c>
      <c r="E796" s="29">
        <v>154.13</v>
      </c>
      <c r="F796" s="29">
        <v>69</v>
      </c>
      <c r="G796" s="30" t="s">
        <v>87</v>
      </c>
      <c r="H796" s="27" t="s">
        <v>94</v>
      </c>
      <c r="I796" s="27" t="s">
        <v>29</v>
      </c>
      <c r="J796" s="27" t="s">
        <v>30</v>
      </c>
      <c r="K796" s="27" t="s">
        <v>65</v>
      </c>
      <c r="L796" s="31" t="s">
        <v>924</v>
      </c>
      <c r="M796" s="32">
        <v>0.68</v>
      </c>
      <c r="N796" s="27" t="s">
        <v>33</v>
      </c>
      <c r="O796" s="27" t="s">
        <v>111</v>
      </c>
      <c r="P796" s="27" t="s">
        <v>112</v>
      </c>
      <c r="Q796" s="27" t="s">
        <v>1624</v>
      </c>
      <c r="R796" s="33">
        <v>11795</v>
      </c>
      <c r="S796" s="34">
        <v>42077</v>
      </c>
      <c r="T796" s="34">
        <v>42078</v>
      </c>
      <c r="U796" s="29">
        <v>-1763.7476999999999</v>
      </c>
      <c r="V796" s="26">
        <v>10</v>
      </c>
      <c r="W796" s="29">
        <v>1494.63</v>
      </c>
      <c r="X796" s="26">
        <v>91144</v>
      </c>
      <c r="Y796" s="35">
        <v>33.949999999999996</v>
      </c>
      <c r="Z796" s="1" t="s">
        <v>3014</v>
      </c>
      <c r="AA796" s="36">
        <v>138.71699999999998</v>
      </c>
      <c r="AB796" s="54">
        <v>478.28159999999997</v>
      </c>
      <c r="AC796" s="54">
        <v>101.63484000000003</v>
      </c>
      <c r="AD796" s="36">
        <v>3050.6606999999999</v>
      </c>
    </row>
    <row r="797" spans="1:30" s="37" customFormat="1" ht="15.75" customHeight="1" x14ac:dyDescent="0.2">
      <c r="A797" s="26">
        <v>373</v>
      </c>
      <c r="B797" s="27" t="s">
        <v>1638</v>
      </c>
      <c r="C797" s="27" t="s">
        <v>3094</v>
      </c>
      <c r="D797" s="28">
        <v>0.04</v>
      </c>
      <c r="E797" s="29">
        <v>85.99</v>
      </c>
      <c r="F797" s="29">
        <v>0.99</v>
      </c>
      <c r="G797" s="30" t="s">
        <v>39</v>
      </c>
      <c r="H797" s="27" t="s">
        <v>3095</v>
      </c>
      <c r="I797" s="27" t="s">
        <v>41</v>
      </c>
      <c r="J797" s="27" t="s">
        <v>135</v>
      </c>
      <c r="K797" s="27" t="s">
        <v>51</v>
      </c>
      <c r="L797" s="31" t="s">
        <v>1596</v>
      </c>
      <c r="M797" s="32">
        <v>0.85</v>
      </c>
      <c r="N797" s="27" t="s">
        <v>33</v>
      </c>
      <c r="O797" s="27" t="s">
        <v>53</v>
      </c>
      <c r="P797" s="27" t="s">
        <v>289</v>
      </c>
      <c r="Q797" s="27" t="s">
        <v>1163</v>
      </c>
      <c r="R797" s="33">
        <v>48234</v>
      </c>
      <c r="S797" s="34">
        <v>42077</v>
      </c>
      <c r="T797" s="34">
        <v>42079</v>
      </c>
      <c r="U797" s="29">
        <v>-175.17500000000001</v>
      </c>
      <c r="V797" s="26">
        <v>19</v>
      </c>
      <c r="W797" s="29">
        <v>1426.51</v>
      </c>
      <c r="X797" s="26">
        <v>24193</v>
      </c>
      <c r="Y797" s="35">
        <v>200.91</v>
      </c>
      <c r="Z797" s="1" t="s">
        <v>3012</v>
      </c>
      <c r="AA797" s="36">
        <v>65.352400000000003</v>
      </c>
      <c r="AB797" s="54">
        <v>213.97650000000004</v>
      </c>
      <c r="AC797" s="54">
        <v>63.817552631578948</v>
      </c>
      <c r="AD797" s="36">
        <v>1535.3425999999999</v>
      </c>
    </row>
    <row r="798" spans="1:30" s="37" customFormat="1" ht="15.75" customHeight="1" x14ac:dyDescent="0.2">
      <c r="A798" s="26">
        <v>994</v>
      </c>
      <c r="B798" s="27" t="s">
        <v>1625</v>
      </c>
      <c r="C798" s="27" t="s">
        <v>38</v>
      </c>
      <c r="D798" s="28">
        <v>0.1</v>
      </c>
      <c r="E798" s="29">
        <v>400.98</v>
      </c>
      <c r="F798" s="29">
        <v>76.37</v>
      </c>
      <c r="G798" s="30" t="s">
        <v>27</v>
      </c>
      <c r="H798" s="27" t="s">
        <v>3095</v>
      </c>
      <c r="I798" s="27" t="s">
        <v>29</v>
      </c>
      <c r="J798" s="27" t="s">
        <v>30</v>
      </c>
      <c r="K798" s="27" t="s">
        <v>31</v>
      </c>
      <c r="L798" s="31" t="s">
        <v>1002</v>
      </c>
      <c r="M798" s="32">
        <v>0.6</v>
      </c>
      <c r="N798" s="27" t="s">
        <v>33</v>
      </c>
      <c r="O798" s="27" t="s">
        <v>111</v>
      </c>
      <c r="P798" s="27" t="s">
        <v>331</v>
      </c>
      <c r="Q798" s="27" t="s">
        <v>332</v>
      </c>
      <c r="R798" s="33">
        <v>4073</v>
      </c>
      <c r="S798" s="34">
        <v>42077</v>
      </c>
      <c r="T798" s="34">
        <v>42078</v>
      </c>
      <c r="U798" s="29">
        <v>-969.04836599999999</v>
      </c>
      <c r="V798" s="26">
        <v>2</v>
      </c>
      <c r="W798" s="29">
        <v>810.47</v>
      </c>
      <c r="X798" s="26">
        <v>89433</v>
      </c>
      <c r="Y798" s="35">
        <v>179.26999999999998</v>
      </c>
      <c r="Z798" s="1" t="s">
        <v>3014</v>
      </c>
      <c r="AA798" s="36">
        <v>80.196000000000012</v>
      </c>
      <c r="AB798" s="54">
        <v>324.18800000000005</v>
      </c>
      <c r="AC798" s="54">
        <v>243.14099999999999</v>
      </c>
      <c r="AD798" s="36">
        <v>1622.952366</v>
      </c>
    </row>
    <row r="799" spans="1:30" s="37" customFormat="1" ht="15.75" customHeight="1" x14ac:dyDescent="0.2">
      <c r="A799" s="26">
        <v>2417</v>
      </c>
      <c r="B799" s="27" t="s">
        <v>1633</v>
      </c>
      <c r="C799" s="27" t="s">
        <v>116</v>
      </c>
      <c r="D799" s="28">
        <v>0</v>
      </c>
      <c r="E799" s="29">
        <v>65.989999999999995</v>
      </c>
      <c r="F799" s="29">
        <v>3.99</v>
      </c>
      <c r="G799" s="30" t="s">
        <v>39</v>
      </c>
      <c r="H799" s="27" t="s">
        <v>40</v>
      </c>
      <c r="I799" s="27" t="s">
        <v>41</v>
      </c>
      <c r="J799" s="27" t="s">
        <v>135</v>
      </c>
      <c r="K799" s="27" t="s">
        <v>73</v>
      </c>
      <c r="L799" s="31" t="s">
        <v>1634</v>
      </c>
      <c r="M799" s="32">
        <v>0.59</v>
      </c>
      <c r="N799" s="27" t="s">
        <v>33</v>
      </c>
      <c r="O799" s="27" t="s">
        <v>34</v>
      </c>
      <c r="P799" s="27" t="s">
        <v>242</v>
      </c>
      <c r="Q799" s="27" t="s">
        <v>1635</v>
      </c>
      <c r="R799" s="33">
        <v>22124</v>
      </c>
      <c r="S799" s="34">
        <v>42077</v>
      </c>
      <c r="T799" s="34">
        <v>42078</v>
      </c>
      <c r="U799" s="29">
        <v>-60.564</v>
      </c>
      <c r="V799" s="26">
        <v>13</v>
      </c>
      <c r="W799" s="29">
        <v>765.65</v>
      </c>
      <c r="X799" s="26">
        <v>86754</v>
      </c>
      <c r="Y799" s="35">
        <v>65.989999999999995</v>
      </c>
      <c r="Z799" s="1" t="s">
        <v>3011</v>
      </c>
      <c r="AA799" s="36">
        <v>0</v>
      </c>
      <c r="AB799" s="54">
        <v>313.91650000000004</v>
      </c>
      <c r="AC799" s="54">
        <v>34.748730769230768</v>
      </c>
      <c r="AD799" s="36">
        <v>822.22399999999993</v>
      </c>
    </row>
    <row r="800" spans="1:30" s="37" customFormat="1" ht="15.75" customHeight="1" x14ac:dyDescent="0.2">
      <c r="A800" s="26">
        <v>3177</v>
      </c>
      <c r="B800" s="27" t="s">
        <v>1642</v>
      </c>
      <c r="C800" s="27" t="s">
        <v>3094</v>
      </c>
      <c r="D800" s="28">
        <v>0.1</v>
      </c>
      <c r="E800" s="29">
        <v>62.18</v>
      </c>
      <c r="F800" s="29">
        <v>10.84</v>
      </c>
      <c r="G800" s="30" t="s">
        <v>39</v>
      </c>
      <c r="H800" s="27" t="s">
        <v>40</v>
      </c>
      <c r="I800" s="27" t="s">
        <v>29</v>
      </c>
      <c r="J800" s="27" t="s">
        <v>126</v>
      </c>
      <c r="K800" s="27" t="s">
        <v>144</v>
      </c>
      <c r="L800" s="31" t="s">
        <v>1231</v>
      </c>
      <c r="M800" s="32">
        <v>0.63</v>
      </c>
      <c r="N800" s="27" t="s">
        <v>33</v>
      </c>
      <c r="O800" s="27" t="s">
        <v>34</v>
      </c>
      <c r="P800" s="27" t="s">
        <v>123</v>
      </c>
      <c r="Q800" s="27" t="s">
        <v>1643</v>
      </c>
      <c r="R800" s="33">
        <v>33458</v>
      </c>
      <c r="S800" s="34">
        <v>42077</v>
      </c>
      <c r="T800" s="34">
        <v>42079</v>
      </c>
      <c r="U800" s="29">
        <v>-29.666</v>
      </c>
      <c r="V800" s="26">
        <v>9</v>
      </c>
      <c r="W800" s="29">
        <v>511.57</v>
      </c>
      <c r="X800" s="26">
        <v>90818</v>
      </c>
      <c r="Y800" s="35">
        <v>45.980000000000004</v>
      </c>
      <c r="Z800" s="1" t="s">
        <v>3011</v>
      </c>
      <c r="AA800" s="36">
        <v>55.962000000000003</v>
      </c>
      <c r="AB800" s="54">
        <v>189.2809</v>
      </c>
      <c r="AC800" s="54">
        <v>35.809899999999999</v>
      </c>
      <c r="AD800" s="36">
        <v>474.43399999999997</v>
      </c>
    </row>
    <row r="801" spans="1:30" s="37" customFormat="1" ht="15.75" customHeight="1" x14ac:dyDescent="0.2">
      <c r="A801" s="26">
        <v>1000</v>
      </c>
      <c r="B801" s="27" t="s">
        <v>1628</v>
      </c>
      <c r="C801" s="27" t="s">
        <v>38</v>
      </c>
      <c r="D801" s="28">
        <v>0.03</v>
      </c>
      <c r="E801" s="29">
        <v>33.979999999999997</v>
      </c>
      <c r="F801" s="29">
        <v>19.989999999999998</v>
      </c>
      <c r="G801" s="30" t="s">
        <v>39</v>
      </c>
      <c r="H801" s="27" t="s">
        <v>3095</v>
      </c>
      <c r="I801" s="27" t="s">
        <v>29</v>
      </c>
      <c r="J801" s="27" t="s">
        <v>126</v>
      </c>
      <c r="K801" s="27" t="s">
        <v>73</v>
      </c>
      <c r="L801" s="31" t="s">
        <v>1629</v>
      </c>
      <c r="M801" s="32">
        <v>0.55000000000000004</v>
      </c>
      <c r="N801" s="27" t="s">
        <v>33</v>
      </c>
      <c r="O801" s="27" t="s">
        <v>111</v>
      </c>
      <c r="P801" s="27" t="s">
        <v>633</v>
      </c>
      <c r="Q801" s="27" t="s">
        <v>1630</v>
      </c>
      <c r="R801" s="33">
        <v>5201</v>
      </c>
      <c r="S801" s="34">
        <v>42077</v>
      </c>
      <c r="T801" s="34">
        <v>42078</v>
      </c>
      <c r="U801" s="29">
        <v>-0.74</v>
      </c>
      <c r="V801" s="26">
        <v>12</v>
      </c>
      <c r="W801" s="29">
        <v>432.44</v>
      </c>
      <c r="X801" s="26">
        <v>89433</v>
      </c>
      <c r="Y801" s="35">
        <v>200.95999999999998</v>
      </c>
      <c r="Z801" s="1" t="s">
        <v>3014</v>
      </c>
      <c r="AA801" s="36">
        <v>12.232799999999997</v>
      </c>
      <c r="AB801" s="54">
        <v>194.59799999999998</v>
      </c>
      <c r="AC801" s="54">
        <v>19.820166666666669</v>
      </c>
      <c r="AD801" s="36">
        <v>400.9572</v>
      </c>
    </row>
    <row r="802" spans="1:30" s="37" customFormat="1" ht="15.75" customHeight="1" x14ac:dyDescent="0.2">
      <c r="A802" s="26">
        <v>2345</v>
      </c>
      <c r="B802" s="27" t="s">
        <v>1631</v>
      </c>
      <c r="C802" s="27" t="s">
        <v>116</v>
      </c>
      <c r="D802" s="28">
        <v>0.02</v>
      </c>
      <c r="E802" s="29">
        <v>179.29</v>
      </c>
      <c r="F802" s="29">
        <v>29.21</v>
      </c>
      <c r="G802" s="30" t="s">
        <v>27</v>
      </c>
      <c r="H802" s="27" t="s">
        <v>94</v>
      </c>
      <c r="I802" s="27" t="s">
        <v>29</v>
      </c>
      <c r="J802" s="27" t="s">
        <v>30</v>
      </c>
      <c r="K802" s="27" t="s">
        <v>31</v>
      </c>
      <c r="L802" s="31" t="s">
        <v>543</v>
      </c>
      <c r="M802" s="32">
        <v>0.76</v>
      </c>
      <c r="N802" s="27" t="s">
        <v>33</v>
      </c>
      <c r="O802" s="27" t="s">
        <v>34</v>
      </c>
      <c r="P802" s="27" t="s">
        <v>388</v>
      </c>
      <c r="Q802" s="27" t="s">
        <v>827</v>
      </c>
      <c r="R802" s="33">
        <v>42003</v>
      </c>
      <c r="S802" s="34">
        <v>42077</v>
      </c>
      <c r="T802" s="34">
        <v>42077</v>
      </c>
      <c r="U802" s="29">
        <v>-411.23599999999999</v>
      </c>
      <c r="V802" s="26">
        <v>2</v>
      </c>
      <c r="W802" s="29">
        <v>311.41000000000003</v>
      </c>
      <c r="X802" s="26">
        <v>89504</v>
      </c>
      <c r="Y802" s="35">
        <v>4.2600000000000007</v>
      </c>
      <c r="Z802" s="1" t="s">
        <v>3011</v>
      </c>
      <c r="AA802" s="36">
        <v>7.1715999999999998</v>
      </c>
      <c r="AB802" s="54">
        <v>74.738399999999999</v>
      </c>
      <c r="AC802" s="54">
        <v>118.33580000000001</v>
      </c>
      <c r="AD802" s="36">
        <v>686.26440000000002</v>
      </c>
    </row>
    <row r="803" spans="1:30" s="37" customFormat="1" ht="15.75" customHeight="1" x14ac:dyDescent="0.2">
      <c r="A803" s="26">
        <v>1682</v>
      </c>
      <c r="B803" s="27" t="s">
        <v>1186</v>
      </c>
      <c r="C803" s="27" t="s">
        <v>3094</v>
      </c>
      <c r="D803" s="28">
        <v>0.08</v>
      </c>
      <c r="E803" s="29">
        <v>4.9800000000000004</v>
      </c>
      <c r="F803" s="29">
        <v>4.7</v>
      </c>
      <c r="G803" s="30" t="s">
        <v>39</v>
      </c>
      <c r="H803" s="27" t="s">
        <v>40</v>
      </c>
      <c r="I803" s="27" t="s">
        <v>49</v>
      </c>
      <c r="J803" s="27" t="s">
        <v>88</v>
      </c>
      <c r="K803" s="27" t="s">
        <v>73</v>
      </c>
      <c r="L803" s="31" t="s">
        <v>1334</v>
      </c>
      <c r="M803" s="32">
        <v>0.38</v>
      </c>
      <c r="N803" s="27" t="s">
        <v>33</v>
      </c>
      <c r="O803" s="27" t="s">
        <v>53</v>
      </c>
      <c r="P803" s="27" t="s">
        <v>103</v>
      </c>
      <c r="Q803" s="27" t="s">
        <v>533</v>
      </c>
      <c r="R803" s="33">
        <v>60611</v>
      </c>
      <c r="S803" s="34">
        <v>42077</v>
      </c>
      <c r="T803" s="34">
        <v>42078</v>
      </c>
      <c r="U803" s="29">
        <v>-56.35</v>
      </c>
      <c r="V803" s="26">
        <v>47</v>
      </c>
      <c r="W803" s="29">
        <v>225.98</v>
      </c>
      <c r="X803" s="26">
        <v>38080</v>
      </c>
      <c r="Y803" s="35">
        <v>85.949999999999989</v>
      </c>
      <c r="Z803" s="1" t="s">
        <v>3012</v>
      </c>
      <c r="AA803" s="36">
        <v>18.724800000000002</v>
      </c>
      <c r="AB803" s="54">
        <v>140.10759999999999</v>
      </c>
      <c r="AC803" s="54">
        <v>1.8270723404255318</v>
      </c>
      <c r="AD803" s="36">
        <v>258.90519999999998</v>
      </c>
    </row>
    <row r="804" spans="1:30" s="37" customFormat="1" ht="15.75" customHeight="1" x14ac:dyDescent="0.2">
      <c r="A804" s="26">
        <v>999</v>
      </c>
      <c r="B804" s="27" t="s">
        <v>1626</v>
      </c>
      <c r="C804" s="27" t="s">
        <v>38</v>
      </c>
      <c r="D804" s="28">
        <v>0.08</v>
      </c>
      <c r="E804" s="29">
        <v>45.19</v>
      </c>
      <c r="F804" s="29">
        <v>1.99</v>
      </c>
      <c r="G804" s="30" t="s">
        <v>39</v>
      </c>
      <c r="H804" s="27" t="s">
        <v>3095</v>
      </c>
      <c r="I804" s="27" t="s">
        <v>41</v>
      </c>
      <c r="J804" s="27" t="s">
        <v>42</v>
      </c>
      <c r="K804" s="27" t="s">
        <v>43</v>
      </c>
      <c r="L804" s="31" t="s">
        <v>44</v>
      </c>
      <c r="M804" s="32">
        <v>0.55000000000000004</v>
      </c>
      <c r="N804" s="27" t="s">
        <v>33</v>
      </c>
      <c r="O804" s="27" t="s">
        <v>111</v>
      </c>
      <c r="P804" s="27" t="s">
        <v>397</v>
      </c>
      <c r="Q804" s="27" t="s">
        <v>1627</v>
      </c>
      <c r="R804" s="33">
        <v>7450</v>
      </c>
      <c r="S804" s="34">
        <v>42077</v>
      </c>
      <c r="T804" s="34">
        <v>42078</v>
      </c>
      <c r="U804" s="29">
        <v>-71.83</v>
      </c>
      <c r="V804" s="26">
        <v>3</v>
      </c>
      <c r="W804" s="29">
        <v>127.22</v>
      </c>
      <c r="X804" s="26">
        <v>89433</v>
      </c>
      <c r="Y804" s="35">
        <v>200.95999999999998</v>
      </c>
      <c r="Z804" s="1" t="s">
        <v>3014</v>
      </c>
      <c r="AA804" s="36">
        <v>10.845599999999999</v>
      </c>
      <c r="AB804" s="54">
        <v>57.248999999999995</v>
      </c>
      <c r="AC804" s="54">
        <v>23.323666666666668</v>
      </c>
      <c r="AD804" s="36">
        <v>186.21440000000001</v>
      </c>
    </row>
    <row r="805" spans="1:30" s="37" customFormat="1" ht="15.75" customHeight="1" x14ac:dyDescent="0.2">
      <c r="A805" s="26">
        <v>3279</v>
      </c>
      <c r="B805" s="27" t="s">
        <v>1636</v>
      </c>
      <c r="C805" s="27" t="s">
        <v>116</v>
      </c>
      <c r="D805" s="28">
        <v>0.01</v>
      </c>
      <c r="E805" s="29">
        <v>45.99</v>
      </c>
      <c r="F805" s="29">
        <v>4.99</v>
      </c>
      <c r="G805" s="30" t="s">
        <v>39</v>
      </c>
      <c r="H805" s="27" t="s">
        <v>71</v>
      </c>
      <c r="I805" s="27" t="s">
        <v>41</v>
      </c>
      <c r="J805" s="27" t="s">
        <v>135</v>
      </c>
      <c r="K805" s="27" t="s">
        <v>73</v>
      </c>
      <c r="L805" s="31" t="s">
        <v>1446</v>
      </c>
      <c r="M805" s="32">
        <v>0.56000000000000005</v>
      </c>
      <c r="N805" s="27" t="s">
        <v>33</v>
      </c>
      <c r="O805" s="27" t="s">
        <v>34</v>
      </c>
      <c r="P805" s="27" t="s">
        <v>271</v>
      </c>
      <c r="Q805" s="27" t="s">
        <v>1637</v>
      </c>
      <c r="R805" s="33">
        <v>29203</v>
      </c>
      <c r="S805" s="34">
        <v>42077</v>
      </c>
      <c r="T805" s="34">
        <v>42079</v>
      </c>
      <c r="U805" s="29">
        <v>24.018000000000001</v>
      </c>
      <c r="V805" s="26">
        <v>3</v>
      </c>
      <c r="W805" s="29">
        <v>125.19</v>
      </c>
      <c r="X805" s="26">
        <v>90767</v>
      </c>
      <c r="Y805" s="35">
        <v>4.2600000000000007</v>
      </c>
      <c r="Z805" s="1" t="s">
        <v>3011</v>
      </c>
      <c r="AA805" s="36">
        <v>1.3797000000000001</v>
      </c>
      <c r="AB805" s="54">
        <v>55.08359999999999</v>
      </c>
      <c r="AC805" s="54">
        <v>23.3688</v>
      </c>
      <c r="AD805" s="36">
        <v>94.802300000000002</v>
      </c>
    </row>
    <row r="806" spans="1:30" s="37" customFormat="1" ht="15.75" customHeight="1" x14ac:dyDescent="0.2">
      <c r="A806" s="26">
        <v>373</v>
      </c>
      <c r="B806" s="27" t="s">
        <v>1638</v>
      </c>
      <c r="C806" s="27" t="s">
        <v>3094</v>
      </c>
      <c r="D806" s="28">
        <v>0.02</v>
      </c>
      <c r="E806" s="29">
        <v>4.28</v>
      </c>
      <c r="F806" s="29">
        <v>5.17</v>
      </c>
      <c r="G806" s="30" t="s">
        <v>39</v>
      </c>
      <c r="H806" s="27" t="s">
        <v>3095</v>
      </c>
      <c r="I806" s="27" t="s">
        <v>49</v>
      </c>
      <c r="J806" s="27" t="s">
        <v>88</v>
      </c>
      <c r="K806" s="27" t="s">
        <v>73</v>
      </c>
      <c r="L806" s="31" t="s">
        <v>1254</v>
      </c>
      <c r="M806" s="32">
        <v>0.4</v>
      </c>
      <c r="N806" s="27" t="s">
        <v>33</v>
      </c>
      <c r="O806" s="27" t="s">
        <v>53</v>
      </c>
      <c r="P806" s="27" t="s">
        <v>289</v>
      </c>
      <c r="Q806" s="27" t="s">
        <v>1163</v>
      </c>
      <c r="R806" s="33">
        <v>48234</v>
      </c>
      <c r="S806" s="34">
        <v>42077</v>
      </c>
      <c r="T806" s="34">
        <v>42078</v>
      </c>
      <c r="U806" s="29">
        <v>-63.87</v>
      </c>
      <c r="V806" s="26">
        <v>24</v>
      </c>
      <c r="W806" s="29">
        <v>109.86</v>
      </c>
      <c r="X806" s="26">
        <v>24193</v>
      </c>
      <c r="Y806" s="35">
        <v>4.9000000000000004</v>
      </c>
      <c r="Z806" s="1" t="s">
        <v>3012</v>
      </c>
      <c r="AA806" s="36">
        <v>2.0544000000000002</v>
      </c>
      <c r="AB806" s="54">
        <v>65.915999999999997</v>
      </c>
      <c r="AC806" s="54">
        <v>1.831</v>
      </c>
      <c r="AD806" s="36">
        <v>166.50559999999999</v>
      </c>
    </row>
    <row r="807" spans="1:30" s="37" customFormat="1" ht="15.75" customHeight="1" x14ac:dyDescent="0.2">
      <c r="A807" s="26">
        <v>1683</v>
      </c>
      <c r="B807" s="27" t="s">
        <v>1187</v>
      </c>
      <c r="C807" s="27" t="s">
        <v>3094</v>
      </c>
      <c r="D807" s="28">
        <v>0.08</v>
      </c>
      <c r="E807" s="29">
        <v>4.9800000000000004</v>
      </c>
      <c r="F807" s="29">
        <v>4.7</v>
      </c>
      <c r="G807" s="30" t="s">
        <v>39</v>
      </c>
      <c r="H807" s="27" t="s">
        <v>40</v>
      </c>
      <c r="I807" s="27" t="s">
        <v>49</v>
      </c>
      <c r="J807" s="27" t="s">
        <v>88</v>
      </c>
      <c r="K807" s="27" t="s">
        <v>73</v>
      </c>
      <c r="L807" s="31" t="s">
        <v>1334</v>
      </c>
      <c r="M807" s="32">
        <v>0.38</v>
      </c>
      <c r="N807" s="27" t="s">
        <v>33</v>
      </c>
      <c r="O807" s="27" t="s">
        <v>53</v>
      </c>
      <c r="P807" s="27" t="s">
        <v>187</v>
      </c>
      <c r="Q807" s="27" t="s">
        <v>1188</v>
      </c>
      <c r="R807" s="33">
        <v>77301</v>
      </c>
      <c r="S807" s="34">
        <v>42077</v>
      </c>
      <c r="T807" s="34">
        <v>42078</v>
      </c>
      <c r="U807" s="29">
        <v>-56.35</v>
      </c>
      <c r="V807" s="26">
        <v>12</v>
      </c>
      <c r="W807" s="29">
        <v>57.7</v>
      </c>
      <c r="X807" s="26">
        <v>90613</v>
      </c>
      <c r="Y807" s="35">
        <v>4.9000000000000004</v>
      </c>
      <c r="Z807" s="1" t="s">
        <v>3012</v>
      </c>
      <c r="AA807" s="36">
        <v>4.7808000000000002</v>
      </c>
      <c r="AB807" s="54">
        <v>35.774000000000001</v>
      </c>
      <c r="AC807" s="54">
        <v>1.8271666666666668</v>
      </c>
      <c r="AD807" s="36">
        <v>104.5692</v>
      </c>
    </row>
    <row r="808" spans="1:30" s="37" customFormat="1" ht="15.75" customHeight="1" x14ac:dyDescent="0.2">
      <c r="A808" s="26">
        <v>375</v>
      </c>
      <c r="B808" s="27" t="s">
        <v>1640</v>
      </c>
      <c r="C808" s="27" t="s">
        <v>3094</v>
      </c>
      <c r="D808" s="28">
        <v>0.02</v>
      </c>
      <c r="E808" s="29">
        <v>4.28</v>
      </c>
      <c r="F808" s="29">
        <v>5.17</v>
      </c>
      <c r="G808" s="30" t="s">
        <v>39</v>
      </c>
      <c r="H808" s="27" t="s">
        <v>3095</v>
      </c>
      <c r="I808" s="27" t="s">
        <v>49</v>
      </c>
      <c r="J808" s="27" t="s">
        <v>88</v>
      </c>
      <c r="K808" s="27" t="s">
        <v>73</v>
      </c>
      <c r="L808" s="31" t="s">
        <v>1254</v>
      </c>
      <c r="M808" s="32">
        <v>0.4</v>
      </c>
      <c r="N808" s="27" t="s">
        <v>33</v>
      </c>
      <c r="O808" s="27" t="s">
        <v>34</v>
      </c>
      <c r="P808" s="27" t="s">
        <v>400</v>
      </c>
      <c r="Q808" s="27" t="s">
        <v>1641</v>
      </c>
      <c r="R808" s="33">
        <v>37814</v>
      </c>
      <c r="S808" s="34">
        <v>42077</v>
      </c>
      <c r="T808" s="34">
        <v>42078</v>
      </c>
      <c r="U808" s="29">
        <v>196.8</v>
      </c>
      <c r="V808" s="26">
        <v>6</v>
      </c>
      <c r="W808" s="29">
        <v>27.47</v>
      </c>
      <c r="X808" s="26">
        <v>90917</v>
      </c>
      <c r="Y808" s="35">
        <v>62.08</v>
      </c>
      <c r="Z808" s="1" t="s">
        <v>3011</v>
      </c>
      <c r="AA808" s="36">
        <v>0.51360000000000006</v>
      </c>
      <c r="AB808" s="54">
        <v>16.481999999999999</v>
      </c>
      <c r="AC808" s="54">
        <v>1.8313333333333333</v>
      </c>
      <c r="AD808" s="36">
        <v>-175.0136</v>
      </c>
    </row>
    <row r="809" spans="1:30" s="37" customFormat="1" ht="15.75" customHeight="1" x14ac:dyDescent="0.2">
      <c r="A809" s="26">
        <v>83</v>
      </c>
      <c r="B809" s="27" t="s">
        <v>1646</v>
      </c>
      <c r="C809" s="27" t="s">
        <v>38</v>
      </c>
      <c r="D809" s="28">
        <v>0.04</v>
      </c>
      <c r="E809" s="29">
        <v>296.18</v>
      </c>
      <c r="F809" s="29">
        <v>54.12</v>
      </c>
      <c r="G809" s="30" t="s">
        <v>27</v>
      </c>
      <c r="H809" s="27" t="s">
        <v>94</v>
      </c>
      <c r="I809" s="27" t="s">
        <v>29</v>
      </c>
      <c r="J809" s="27" t="s">
        <v>30</v>
      </c>
      <c r="K809" s="27" t="s">
        <v>31</v>
      </c>
      <c r="L809" s="31" t="s">
        <v>1079</v>
      </c>
      <c r="M809" s="32">
        <v>0.76</v>
      </c>
      <c r="N809" s="27" t="s">
        <v>33</v>
      </c>
      <c r="O809" s="27" t="s">
        <v>111</v>
      </c>
      <c r="P809" s="27" t="s">
        <v>317</v>
      </c>
      <c r="Q809" s="27" t="s">
        <v>997</v>
      </c>
      <c r="R809" s="33">
        <v>44708</v>
      </c>
      <c r="S809" s="34">
        <v>42078</v>
      </c>
      <c r="T809" s="34">
        <v>42078</v>
      </c>
      <c r="U809" s="29">
        <v>-715.77820599999995</v>
      </c>
      <c r="V809" s="26">
        <v>6</v>
      </c>
      <c r="W809" s="29">
        <v>1821.89</v>
      </c>
      <c r="X809" s="26">
        <v>87365</v>
      </c>
      <c r="Y809" s="35">
        <v>13.7</v>
      </c>
      <c r="Z809" s="1" t="s">
        <v>3014</v>
      </c>
      <c r="AA809" s="36">
        <v>71.083200000000005</v>
      </c>
      <c r="AB809" s="54">
        <v>437.25360000000001</v>
      </c>
      <c r="AC809" s="54">
        <v>230.77273333333335</v>
      </c>
      <c r="AD809" s="36">
        <v>2412.4650059999999</v>
      </c>
    </row>
    <row r="810" spans="1:30" s="37" customFormat="1" ht="15.75" customHeight="1" x14ac:dyDescent="0.2">
      <c r="A810" s="26">
        <v>2356</v>
      </c>
      <c r="B810" s="27" t="s">
        <v>1659</v>
      </c>
      <c r="C810" s="27" t="s">
        <v>116</v>
      </c>
      <c r="D810" s="28">
        <v>0</v>
      </c>
      <c r="E810" s="29">
        <v>29.34</v>
      </c>
      <c r="F810" s="29">
        <v>7.87</v>
      </c>
      <c r="G810" s="30" t="s">
        <v>39</v>
      </c>
      <c r="H810" s="27" t="s">
        <v>40</v>
      </c>
      <c r="I810" s="27" t="s">
        <v>29</v>
      </c>
      <c r="J810" s="27" t="s">
        <v>126</v>
      </c>
      <c r="K810" s="27" t="s">
        <v>73</v>
      </c>
      <c r="L810" s="31" t="s">
        <v>1660</v>
      </c>
      <c r="M810" s="32">
        <v>0.54</v>
      </c>
      <c r="N810" s="27" t="s">
        <v>33</v>
      </c>
      <c r="O810" s="27" t="s">
        <v>60</v>
      </c>
      <c r="P810" s="27" t="s">
        <v>1060</v>
      </c>
      <c r="Q810" s="27" t="s">
        <v>1661</v>
      </c>
      <c r="R810" s="33">
        <v>82901</v>
      </c>
      <c r="S810" s="34">
        <v>42078</v>
      </c>
      <c r="T810" s="34">
        <v>42080</v>
      </c>
      <c r="U810" s="29">
        <v>385.37</v>
      </c>
      <c r="V810" s="26">
        <v>22</v>
      </c>
      <c r="W810" s="29">
        <v>668.38</v>
      </c>
      <c r="X810" s="26">
        <v>91305</v>
      </c>
      <c r="Y810" s="35">
        <v>296.14</v>
      </c>
      <c r="Z810" s="1" t="s">
        <v>3013</v>
      </c>
      <c r="AA810" s="36">
        <v>0</v>
      </c>
      <c r="AB810" s="54">
        <v>307.45479999999998</v>
      </c>
      <c r="AC810" s="54">
        <v>16.405690909090911</v>
      </c>
      <c r="AD810" s="36">
        <v>275.14</v>
      </c>
    </row>
    <row r="811" spans="1:30" s="37" customFormat="1" ht="15.75" customHeight="1" x14ac:dyDescent="0.2">
      <c r="A811" s="26">
        <v>1123</v>
      </c>
      <c r="B811" s="27" t="s">
        <v>1647</v>
      </c>
      <c r="C811" s="27" t="s">
        <v>38</v>
      </c>
      <c r="D811" s="28">
        <v>0.03</v>
      </c>
      <c r="E811" s="29">
        <v>7.3</v>
      </c>
      <c r="F811" s="29">
        <v>7.72</v>
      </c>
      <c r="G811" s="30" t="s">
        <v>39</v>
      </c>
      <c r="H811" s="27" t="s">
        <v>3095</v>
      </c>
      <c r="I811" s="27" t="s">
        <v>49</v>
      </c>
      <c r="J811" s="27" t="s">
        <v>72</v>
      </c>
      <c r="K811" s="27" t="s">
        <v>73</v>
      </c>
      <c r="L811" s="31" t="s">
        <v>1648</v>
      </c>
      <c r="M811" s="32">
        <v>0.38</v>
      </c>
      <c r="N811" s="27" t="s">
        <v>33</v>
      </c>
      <c r="O811" s="27" t="s">
        <v>60</v>
      </c>
      <c r="P811" s="27" t="s">
        <v>90</v>
      </c>
      <c r="Q811" s="27" t="s">
        <v>1649</v>
      </c>
      <c r="R811" s="33">
        <v>95661</v>
      </c>
      <c r="S811" s="34">
        <v>42078</v>
      </c>
      <c r="T811" s="34">
        <v>42081</v>
      </c>
      <c r="U811" s="29">
        <v>-127.05200000000001</v>
      </c>
      <c r="V811" s="26">
        <v>14</v>
      </c>
      <c r="W811" s="29">
        <v>103.61</v>
      </c>
      <c r="X811" s="26">
        <v>87015</v>
      </c>
      <c r="Y811" s="35">
        <v>7.27</v>
      </c>
      <c r="Z811" s="1" t="s">
        <v>3013</v>
      </c>
      <c r="AA811" s="36">
        <v>3.0659999999999998</v>
      </c>
      <c r="AB811" s="54">
        <v>64.238200000000006</v>
      </c>
      <c r="AC811" s="54">
        <v>2.8122714285714285</v>
      </c>
      <c r="AD811" s="36">
        <v>219.876</v>
      </c>
    </row>
    <row r="812" spans="1:30" s="37" customFormat="1" ht="15.75" customHeight="1" x14ac:dyDescent="0.2">
      <c r="A812" s="26">
        <v>724</v>
      </c>
      <c r="B812" s="27" t="s">
        <v>1653</v>
      </c>
      <c r="C812" s="27" t="s">
        <v>116</v>
      </c>
      <c r="D812" s="28">
        <v>0.09</v>
      </c>
      <c r="E812" s="29">
        <v>125.99</v>
      </c>
      <c r="F812" s="29">
        <v>8.99</v>
      </c>
      <c r="G812" s="30" t="s">
        <v>39</v>
      </c>
      <c r="H812" s="27" t="s">
        <v>40</v>
      </c>
      <c r="I812" s="27" t="s">
        <v>41</v>
      </c>
      <c r="J812" s="27" t="s">
        <v>135</v>
      </c>
      <c r="K812" s="27" t="s">
        <v>73</v>
      </c>
      <c r="L812" s="31" t="s">
        <v>1654</v>
      </c>
      <c r="M812" s="32">
        <v>0.55000000000000004</v>
      </c>
      <c r="N812" s="27" t="s">
        <v>33</v>
      </c>
      <c r="O812" s="27" t="s">
        <v>111</v>
      </c>
      <c r="P812" s="27" t="s">
        <v>248</v>
      </c>
      <c r="Q812" s="27" t="s">
        <v>1655</v>
      </c>
      <c r="R812" s="33">
        <v>6614</v>
      </c>
      <c r="S812" s="34">
        <v>42078</v>
      </c>
      <c r="T812" s="34">
        <v>42079</v>
      </c>
      <c r="U812" s="29">
        <v>-605.37400000000002</v>
      </c>
      <c r="V812" s="26">
        <v>1</v>
      </c>
      <c r="W812" s="29">
        <v>100.38</v>
      </c>
      <c r="X812" s="26">
        <v>90359</v>
      </c>
      <c r="Y812" s="35">
        <v>30.85</v>
      </c>
      <c r="Z812" s="1" t="s">
        <v>3014</v>
      </c>
      <c r="AA812" s="36">
        <v>11.339099999999998</v>
      </c>
      <c r="AB812" s="54">
        <v>45.170999999999992</v>
      </c>
      <c r="AC812" s="54">
        <v>55.209000000000003</v>
      </c>
      <c r="AD812" s="36">
        <v>685.42489999999998</v>
      </c>
    </row>
    <row r="813" spans="1:30" s="37" customFormat="1" ht="15.75" customHeight="1" x14ac:dyDescent="0.2">
      <c r="A813" s="26">
        <v>2426</v>
      </c>
      <c r="B813" s="27" t="s">
        <v>1650</v>
      </c>
      <c r="C813" s="27" t="s">
        <v>38</v>
      </c>
      <c r="D813" s="28">
        <v>0.08</v>
      </c>
      <c r="E813" s="29">
        <v>30.93</v>
      </c>
      <c r="F813" s="29">
        <v>3.92</v>
      </c>
      <c r="G813" s="30" t="s">
        <v>39</v>
      </c>
      <c r="H813" s="27" t="s">
        <v>3095</v>
      </c>
      <c r="I813" s="27" t="s">
        <v>29</v>
      </c>
      <c r="J813" s="27" t="s">
        <v>126</v>
      </c>
      <c r="K813" s="27" t="s">
        <v>43</v>
      </c>
      <c r="L813" s="31" t="s">
        <v>1651</v>
      </c>
      <c r="M813" s="32">
        <v>0.44</v>
      </c>
      <c r="N813" s="27" t="s">
        <v>33</v>
      </c>
      <c r="O813" s="27" t="s">
        <v>53</v>
      </c>
      <c r="P813" s="27" t="s">
        <v>187</v>
      </c>
      <c r="Q813" s="27" t="s">
        <v>1652</v>
      </c>
      <c r="R813" s="33">
        <v>75061</v>
      </c>
      <c r="S813" s="34">
        <v>42078</v>
      </c>
      <c r="T813" s="34">
        <v>42079</v>
      </c>
      <c r="U813" s="29">
        <v>63.059100000000001</v>
      </c>
      <c r="V813" s="26">
        <v>3</v>
      </c>
      <c r="W813" s="29">
        <v>91.39</v>
      </c>
      <c r="X813" s="26">
        <v>90859</v>
      </c>
      <c r="Y813" s="35">
        <v>125.89999999999999</v>
      </c>
      <c r="Z813" s="1" t="s">
        <v>3012</v>
      </c>
      <c r="AA813" s="36">
        <v>7.4232000000000005</v>
      </c>
      <c r="AB813" s="54">
        <v>51.178400000000003</v>
      </c>
      <c r="AC813" s="54">
        <v>13.403866666666667</v>
      </c>
      <c r="AD813" s="36">
        <v>16.987700000000004</v>
      </c>
    </row>
    <row r="814" spans="1:30" s="37" customFormat="1" ht="15.75" customHeight="1" x14ac:dyDescent="0.2">
      <c r="A814" s="26">
        <v>727</v>
      </c>
      <c r="B814" s="27" t="s">
        <v>1656</v>
      </c>
      <c r="C814" s="27" t="s">
        <v>116</v>
      </c>
      <c r="D814" s="28">
        <v>0.1</v>
      </c>
      <c r="E814" s="29">
        <v>17.98</v>
      </c>
      <c r="F814" s="29">
        <v>4</v>
      </c>
      <c r="G814" s="30" t="s">
        <v>39</v>
      </c>
      <c r="H814" s="27" t="s">
        <v>40</v>
      </c>
      <c r="I814" s="27" t="s">
        <v>41</v>
      </c>
      <c r="J814" s="27" t="s">
        <v>42</v>
      </c>
      <c r="K814" s="27" t="s">
        <v>73</v>
      </c>
      <c r="L814" s="31" t="s">
        <v>1657</v>
      </c>
      <c r="M814" s="32">
        <v>0.79</v>
      </c>
      <c r="N814" s="27" t="s">
        <v>33</v>
      </c>
      <c r="O814" s="27" t="s">
        <v>111</v>
      </c>
      <c r="P814" s="27" t="s">
        <v>331</v>
      </c>
      <c r="Q814" s="27" t="s">
        <v>1658</v>
      </c>
      <c r="R814" s="33">
        <v>4240</v>
      </c>
      <c r="S814" s="34">
        <v>42078</v>
      </c>
      <c r="T814" s="34">
        <v>42079</v>
      </c>
      <c r="U814" s="29">
        <v>-99.55</v>
      </c>
      <c r="V814" s="26">
        <v>4</v>
      </c>
      <c r="W814" s="29">
        <v>66.319999999999993</v>
      </c>
      <c r="X814" s="26">
        <v>90359</v>
      </c>
      <c r="Y814" s="35">
        <v>17.88</v>
      </c>
      <c r="Z814" s="1" t="s">
        <v>3014</v>
      </c>
      <c r="AA814" s="36">
        <v>7.1920000000000002</v>
      </c>
      <c r="AB814" s="54">
        <v>13.927199999999996</v>
      </c>
      <c r="AC814" s="54">
        <v>13.098199999999999</v>
      </c>
      <c r="AD814" s="36">
        <v>154.678</v>
      </c>
    </row>
    <row r="815" spans="1:30" s="37" customFormat="1" ht="15.75" customHeight="1" x14ac:dyDescent="0.2">
      <c r="A815" s="26">
        <v>1646</v>
      </c>
      <c r="B815" s="27" t="s">
        <v>1667</v>
      </c>
      <c r="C815" s="27" t="s">
        <v>3094</v>
      </c>
      <c r="D815" s="28">
        <v>0.06</v>
      </c>
      <c r="E815" s="29">
        <v>3.29</v>
      </c>
      <c r="F815" s="29">
        <v>1.35</v>
      </c>
      <c r="G815" s="30" t="s">
        <v>39</v>
      </c>
      <c r="H815" s="27" t="s">
        <v>3095</v>
      </c>
      <c r="I815" s="27" t="s">
        <v>49</v>
      </c>
      <c r="J815" s="27" t="s">
        <v>176</v>
      </c>
      <c r="K815" s="27" t="s">
        <v>51</v>
      </c>
      <c r="L815" s="31" t="s">
        <v>1668</v>
      </c>
      <c r="M815" s="32">
        <v>0.4</v>
      </c>
      <c r="N815" s="27" t="s">
        <v>33</v>
      </c>
      <c r="O815" s="27" t="s">
        <v>111</v>
      </c>
      <c r="P815" s="27" t="s">
        <v>112</v>
      </c>
      <c r="Q815" s="27" t="s">
        <v>1669</v>
      </c>
      <c r="R815" s="33">
        <v>11714</v>
      </c>
      <c r="S815" s="34">
        <v>42078</v>
      </c>
      <c r="T815" s="34">
        <v>42080</v>
      </c>
      <c r="U815" s="29">
        <v>8.5299999999999994</v>
      </c>
      <c r="V815" s="26">
        <v>11</v>
      </c>
      <c r="W815" s="29">
        <v>35.97</v>
      </c>
      <c r="X815" s="26">
        <v>90932</v>
      </c>
      <c r="Y815" s="35">
        <v>29.34</v>
      </c>
      <c r="Z815" s="1" t="s">
        <v>3014</v>
      </c>
      <c r="AA815" s="36">
        <v>2.1713999999999998</v>
      </c>
      <c r="AB815" s="54">
        <v>21.581999999999997</v>
      </c>
      <c r="AC815" s="54">
        <v>1.3080000000000001</v>
      </c>
      <c r="AD815" s="36">
        <v>23.918599999999998</v>
      </c>
    </row>
    <row r="816" spans="1:30" s="37" customFormat="1" ht="15.75" customHeight="1" x14ac:dyDescent="0.2">
      <c r="A816" s="26">
        <v>871</v>
      </c>
      <c r="B816" s="27" t="s">
        <v>1665</v>
      </c>
      <c r="C816" s="27" t="s">
        <v>3094</v>
      </c>
      <c r="D816" s="28">
        <v>0.03</v>
      </c>
      <c r="E816" s="29">
        <v>14.2</v>
      </c>
      <c r="F816" s="29">
        <v>5.3</v>
      </c>
      <c r="G816" s="30" t="s">
        <v>39</v>
      </c>
      <c r="H816" s="27" t="s">
        <v>71</v>
      </c>
      <c r="I816" s="27" t="s">
        <v>29</v>
      </c>
      <c r="J816" s="27" t="s">
        <v>126</v>
      </c>
      <c r="K816" s="27" t="s">
        <v>51</v>
      </c>
      <c r="L816" s="31" t="s">
        <v>288</v>
      </c>
      <c r="M816" s="32">
        <v>0.46</v>
      </c>
      <c r="N816" s="27" t="s">
        <v>33</v>
      </c>
      <c r="O816" s="27" t="s">
        <v>60</v>
      </c>
      <c r="P816" s="27" t="s">
        <v>296</v>
      </c>
      <c r="Q816" s="27" t="s">
        <v>1666</v>
      </c>
      <c r="R816" s="33">
        <v>89502</v>
      </c>
      <c r="S816" s="34">
        <v>42078</v>
      </c>
      <c r="T816" s="34">
        <v>42080</v>
      </c>
      <c r="U816" s="29">
        <v>21.555599999999998</v>
      </c>
      <c r="V816" s="26">
        <v>2</v>
      </c>
      <c r="W816" s="29">
        <v>31.24</v>
      </c>
      <c r="X816" s="26">
        <v>90577</v>
      </c>
      <c r="Y816" s="35">
        <v>1.75</v>
      </c>
      <c r="Z816" s="1" t="s">
        <v>3013</v>
      </c>
      <c r="AA816" s="36">
        <v>0.85199999999999998</v>
      </c>
      <c r="AB816" s="54">
        <v>16.869600000000002</v>
      </c>
      <c r="AC816" s="54">
        <v>7.1852</v>
      </c>
      <c r="AD816" s="36">
        <v>3.5323999999999991</v>
      </c>
    </row>
    <row r="817" spans="1:30" s="37" customFormat="1" ht="15.75" customHeight="1" x14ac:dyDescent="0.2">
      <c r="A817" s="26">
        <v>594</v>
      </c>
      <c r="B817" s="27" t="s">
        <v>1644</v>
      </c>
      <c r="C817" s="27" t="s">
        <v>26</v>
      </c>
      <c r="D817" s="28">
        <v>0.09</v>
      </c>
      <c r="E817" s="29">
        <v>13.79</v>
      </c>
      <c r="F817" s="29">
        <v>8.7799999999999994</v>
      </c>
      <c r="G817" s="30" t="s">
        <v>39</v>
      </c>
      <c r="H817" s="27" t="s">
        <v>40</v>
      </c>
      <c r="I817" s="27" t="s">
        <v>29</v>
      </c>
      <c r="J817" s="27" t="s">
        <v>126</v>
      </c>
      <c r="K817" s="27" t="s">
        <v>73</v>
      </c>
      <c r="L817" s="31" t="s">
        <v>1326</v>
      </c>
      <c r="M817" s="32">
        <v>0.43</v>
      </c>
      <c r="N817" s="27" t="s">
        <v>33</v>
      </c>
      <c r="O817" s="27" t="s">
        <v>53</v>
      </c>
      <c r="P817" s="27" t="s">
        <v>54</v>
      </c>
      <c r="Q817" s="27" t="s">
        <v>1645</v>
      </c>
      <c r="R817" s="33">
        <v>46016</v>
      </c>
      <c r="S817" s="34">
        <v>42078</v>
      </c>
      <c r="T817" s="34">
        <v>42080</v>
      </c>
      <c r="U817" s="29">
        <v>-22.12</v>
      </c>
      <c r="V817" s="26">
        <v>1</v>
      </c>
      <c r="W817" s="29">
        <v>17.440000000000001</v>
      </c>
      <c r="X817" s="26">
        <v>86309</v>
      </c>
      <c r="Y817" s="35">
        <v>14.17</v>
      </c>
      <c r="Z817" s="1" t="s">
        <v>3012</v>
      </c>
      <c r="AA817" s="36">
        <v>1.2410999999999999</v>
      </c>
      <c r="AB817" s="54">
        <v>9.9408000000000012</v>
      </c>
      <c r="AC817" s="54">
        <v>7.4992000000000001</v>
      </c>
      <c r="AD817" s="36">
        <v>29.538900000000005</v>
      </c>
    </row>
    <row r="818" spans="1:30" s="37" customFormat="1" ht="15.75" customHeight="1" x14ac:dyDescent="0.2">
      <c r="A818" s="26">
        <v>2372</v>
      </c>
      <c r="B818" s="27" t="s">
        <v>1662</v>
      </c>
      <c r="C818" s="27" t="s">
        <v>116</v>
      </c>
      <c r="D818" s="28">
        <v>0.01</v>
      </c>
      <c r="E818" s="29">
        <v>1.76</v>
      </c>
      <c r="F818" s="29">
        <v>0.7</v>
      </c>
      <c r="G818" s="30" t="s">
        <v>39</v>
      </c>
      <c r="H818" s="27" t="s">
        <v>94</v>
      </c>
      <c r="I818" s="27" t="s">
        <v>49</v>
      </c>
      <c r="J818" s="27" t="s">
        <v>50</v>
      </c>
      <c r="K818" s="27" t="s">
        <v>51</v>
      </c>
      <c r="L818" s="31" t="s">
        <v>1663</v>
      </c>
      <c r="M818" s="32">
        <v>0.56000000000000005</v>
      </c>
      <c r="N818" s="27" t="s">
        <v>33</v>
      </c>
      <c r="O818" s="27" t="s">
        <v>53</v>
      </c>
      <c r="P818" s="27" t="s">
        <v>84</v>
      </c>
      <c r="Q818" s="27" t="s">
        <v>1664</v>
      </c>
      <c r="R818" s="33">
        <v>55803</v>
      </c>
      <c r="S818" s="34">
        <v>42078</v>
      </c>
      <c r="T818" s="34">
        <v>42079</v>
      </c>
      <c r="U818" s="29">
        <v>-1.56</v>
      </c>
      <c r="V818" s="26">
        <v>4</v>
      </c>
      <c r="W818" s="29">
        <v>7.2</v>
      </c>
      <c r="X818" s="26">
        <v>90714</v>
      </c>
      <c r="Y818" s="35">
        <v>3.23</v>
      </c>
      <c r="Z818" s="1" t="s">
        <v>3012</v>
      </c>
      <c r="AA818" s="36">
        <v>7.0400000000000004E-2</v>
      </c>
      <c r="AB818" s="54">
        <v>3.1679999999999997</v>
      </c>
      <c r="AC818" s="54">
        <v>1.0080000000000002</v>
      </c>
      <c r="AD818" s="36">
        <v>7.9896000000000003</v>
      </c>
    </row>
    <row r="819" spans="1:30" s="37" customFormat="1" ht="15.75" customHeight="1" x14ac:dyDescent="0.2">
      <c r="A819" s="26">
        <v>1241</v>
      </c>
      <c r="B819" s="27" t="s">
        <v>1684</v>
      </c>
      <c r="C819" s="27" t="s">
        <v>3094</v>
      </c>
      <c r="D819" s="28">
        <v>0</v>
      </c>
      <c r="E819" s="29">
        <v>387.99</v>
      </c>
      <c r="F819" s="29">
        <v>19.989999999999998</v>
      </c>
      <c r="G819" s="30" t="s">
        <v>39</v>
      </c>
      <c r="H819" s="27" t="s">
        <v>94</v>
      </c>
      <c r="I819" s="27" t="s">
        <v>49</v>
      </c>
      <c r="J819" s="27" t="s">
        <v>72</v>
      </c>
      <c r="K819" s="27" t="s">
        <v>73</v>
      </c>
      <c r="L819" s="31" t="s">
        <v>1685</v>
      </c>
      <c r="M819" s="32">
        <v>0.38</v>
      </c>
      <c r="N819" s="27" t="s">
        <v>33</v>
      </c>
      <c r="O819" s="27" t="s">
        <v>34</v>
      </c>
      <c r="P819" s="27" t="s">
        <v>164</v>
      </c>
      <c r="Q819" s="27" t="s">
        <v>1204</v>
      </c>
      <c r="R819" s="33">
        <v>36830</v>
      </c>
      <c r="S819" s="34">
        <v>42079</v>
      </c>
      <c r="T819" s="34">
        <v>42080</v>
      </c>
      <c r="U819" s="29">
        <v>-70.14</v>
      </c>
      <c r="V819" s="26">
        <v>23</v>
      </c>
      <c r="W819" s="29">
        <v>9280.7199999999993</v>
      </c>
      <c r="X819" s="26">
        <v>90880</v>
      </c>
      <c r="Y819" s="35">
        <v>4.1900000000000004</v>
      </c>
      <c r="Z819" s="1" t="s">
        <v>3011</v>
      </c>
      <c r="AA819" s="36">
        <v>0</v>
      </c>
      <c r="AB819" s="54">
        <v>5754.0463999999993</v>
      </c>
      <c r="AC819" s="54">
        <v>153.3336347826087</v>
      </c>
      <c r="AD819" s="36">
        <v>9330.869999999999</v>
      </c>
    </row>
    <row r="820" spans="1:30" s="37" customFormat="1" ht="15.75" customHeight="1" x14ac:dyDescent="0.2">
      <c r="A820" s="26">
        <v>2157</v>
      </c>
      <c r="B820" s="27" t="s">
        <v>1681</v>
      </c>
      <c r="C820" s="27" t="s">
        <v>48</v>
      </c>
      <c r="D820" s="28">
        <v>0.05</v>
      </c>
      <c r="E820" s="29">
        <v>442.14</v>
      </c>
      <c r="F820" s="29">
        <v>14.7</v>
      </c>
      <c r="G820" s="30" t="s">
        <v>27</v>
      </c>
      <c r="H820" s="27" t="s">
        <v>71</v>
      </c>
      <c r="I820" s="27" t="s">
        <v>41</v>
      </c>
      <c r="J820" s="27" t="s">
        <v>57</v>
      </c>
      <c r="K820" s="27" t="s">
        <v>58</v>
      </c>
      <c r="L820" s="31" t="s">
        <v>1312</v>
      </c>
      <c r="M820" s="32">
        <v>0.56000000000000005</v>
      </c>
      <c r="N820" s="27" t="s">
        <v>33</v>
      </c>
      <c r="O820" s="27" t="s">
        <v>53</v>
      </c>
      <c r="P820" s="27" t="s">
        <v>289</v>
      </c>
      <c r="Q820" s="27" t="s">
        <v>1683</v>
      </c>
      <c r="R820" s="33">
        <v>48093</v>
      </c>
      <c r="S820" s="34">
        <v>42079</v>
      </c>
      <c r="T820" s="34">
        <v>42088</v>
      </c>
      <c r="U820" s="29">
        <v>2963.48</v>
      </c>
      <c r="V820" s="26">
        <v>14</v>
      </c>
      <c r="W820" s="29">
        <v>5880.46</v>
      </c>
      <c r="X820" s="26">
        <v>90385</v>
      </c>
      <c r="Y820" s="35">
        <v>15.65</v>
      </c>
      <c r="Z820" s="1" t="s">
        <v>3012</v>
      </c>
      <c r="AA820" s="36">
        <v>309.49799999999999</v>
      </c>
      <c r="AB820" s="54">
        <v>2587.4023999999995</v>
      </c>
      <c r="AC820" s="54">
        <v>235.21840000000003</v>
      </c>
      <c r="AD820" s="36">
        <v>2592.7820000000002</v>
      </c>
    </row>
    <row r="821" spans="1:30" s="37" customFormat="1" ht="15.75" customHeight="1" x14ac:dyDescent="0.2">
      <c r="A821" s="26">
        <v>145</v>
      </c>
      <c r="B821" s="27" t="s">
        <v>528</v>
      </c>
      <c r="C821" s="27" t="s">
        <v>48</v>
      </c>
      <c r="D821" s="28">
        <v>7.0000000000000007E-2</v>
      </c>
      <c r="E821" s="29">
        <v>154.13</v>
      </c>
      <c r="F821" s="29">
        <v>69</v>
      </c>
      <c r="G821" s="30" t="s">
        <v>87</v>
      </c>
      <c r="H821" s="27" t="s">
        <v>71</v>
      </c>
      <c r="I821" s="27" t="s">
        <v>29</v>
      </c>
      <c r="J821" s="27" t="s">
        <v>30</v>
      </c>
      <c r="K821" s="27" t="s">
        <v>65</v>
      </c>
      <c r="L821" s="31" t="s">
        <v>924</v>
      </c>
      <c r="M821" s="32">
        <v>0.68</v>
      </c>
      <c r="N821" s="27" t="s">
        <v>33</v>
      </c>
      <c r="O821" s="27" t="s">
        <v>111</v>
      </c>
      <c r="P821" s="27" t="s">
        <v>320</v>
      </c>
      <c r="Q821" s="27" t="s">
        <v>530</v>
      </c>
      <c r="R821" s="33">
        <v>15122</v>
      </c>
      <c r="S821" s="34">
        <v>42079</v>
      </c>
      <c r="T821" s="34">
        <v>42079</v>
      </c>
      <c r="U821" s="29">
        <v>-634.73410000000001</v>
      </c>
      <c r="V821" s="26">
        <v>3</v>
      </c>
      <c r="W821" s="29">
        <v>453.62</v>
      </c>
      <c r="X821" s="26">
        <v>91089</v>
      </c>
      <c r="Y821" s="35">
        <v>68.73</v>
      </c>
      <c r="Z821" s="1" t="s">
        <v>3014</v>
      </c>
      <c r="AA821" s="36">
        <v>32.3673</v>
      </c>
      <c r="AB821" s="54">
        <v>145.15839999999997</v>
      </c>
      <c r="AC821" s="54">
        <v>102.82053333333334</v>
      </c>
      <c r="AD821" s="36">
        <v>986.98680000000002</v>
      </c>
    </row>
    <row r="822" spans="1:30" s="37" customFormat="1" ht="15.75" customHeight="1" x14ac:dyDescent="0.2">
      <c r="A822" s="26">
        <v>2323</v>
      </c>
      <c r="B822" s="27" t="s">
        <v>1675</v>
      </c>
      <c r="C822" s="27" t="s">
        <v>38</v>
      </c>
      <c r="D822" s="28">
        <v>0.08</v>
      </c>
      <c r="E822" s="29">
        <v>68.81</v>
      </c>
      <c r="F822" s="29">
        <v>60</v>
      </c>
      <c r="G822" s="30" t="s">
        <v>27</v>
      </c>
      <c r="H822" s="27" t="s">
        <v>3095</v>
      </c>
      <c r="I822" s="27" t="s">
        <v>49</v>
      </c>
      <c r="J822" s="27" t="s">
        <v>95</v>
      </c>
      <c r="K822" s="27" t="s">
        <v>58</v>
      </c>
      <c r="L822" s="31" t="s">
        <v>1676</v>
      </c>
      <c r="M822" s="32">
        <v>0.41</v>
      </c>
      <c r="N822" s="27" t="s">
        <v>33</v>
      </c>
      <c r="O822" s="27" t="s">
        <v>60</v>
      </c>
      <c r="P822" s="27" t="s">
        <v>90</v>
      </c>
      <c r="Q822" s="27" t="s">
        <v>1214</v>
      </c>
      <c r="R822" s="33">
        <v>92236</v>
      </c>
      <c r="S822" s="34">
        <v>42079</v>
      </c>
      <c r="T822" s="34">
        <v>42080</v>
      </c>
      <c r="U822" s="29">
        <v>-550.42999999999995</v>
      </c>
      <c r="V822" s="26">
        <v>5</v>
      </c>
      <c r="W822" s="29">
        <v>337.86</v>
      </c>
      <c r="X822" s="26">
        <v>88721</v>
      </c>
      <c r="Y822" s="35">
        <v>21.34</v>
      </c>
      <c r="Z822" s="1" t="s">
        <v>3013</v>
      </c>
      <c r="AA822" s="36">
        <v>27.524000000000001</v>
      </c>
      <c r="AB822" s="54">
        <v>199.33740000000003</v>
      </c>
      <c r="AC822" s="54">
        <v>27.704519999999999</v>
      </c>
      <c r="AD822" s="36">
        <v>800.76599999999996</v>
      </c>
    </row>
    <row r="823" spans="1:30" s="37" customFormat="1" ht="15.75" customHeight="1" x14ac:dyDescent="0.2">
      <c r="A823" s="26">
        <v>1068</v>
      </c>
      <c r="B823" s="27" t="s">
        <v>1678</v>
      </c>
      <c r="C823" s="27" t="s">
        <v>48</v>
      </c>
      <c r="D823" s="28">
        <v>0.04</v>
      </c>
      <c r="E823" s="29">
        <v>22.84</v>
      </c>
      <c r="F823" s="29">
        <v>16.87</v>
      </c>
      <c r="G823" s="30" t="s">
        <v>39</v>
      </c>
      <c r="H823" s="27" t="s">
        <v>71</v>
      </c>
      <c r="I823" s="27" t="s">
        <v>49</v>
      </c>
      <c r="J823" s="27" t="s">
        <v>88</v>
      </c>
      <c r="K823" s="27" t="s">
        <v>73</v>
      </c>
      <c r="L823" s="31" t="s">
        <v>1679</v>
      </c>
      <c r="M823" s="32">
        <v>0.39</v>
      </c>
      <c r="N823" s="27" t="s">
        <v>33</v>
      </c>
      <c r="O823" s="27" t="s">
        <v>53</v>
      </c>
      <c r="P823" s="27" t="s">
        <v>103</v>
      </c>
      <c r="Q823" s="27" t="s">
        <v>1680</v>
      </c>
      <c r="R823" s="33">
        <v>60409</v>
      </c>
      <c r="S823" s="34">
        <v>42079</v>
      </c>
      <c r="T823" s="34">
        <v>42079</v>
      </c>
      <c r="U823" s="29">
        <v>-97.28</v>
      </c>
      <c r="V823" s="26">
        <v>12</v>
      </c>
      <c r="W823" s="29">
        <v>286.39999999999998</v>
      </c>
      <c r="X823" s="26">
        <v>87109</v>
      </c>
      <c r="Y823" s="35">
        <v>154.06</v>
      </c>
      <c r="Z823" s="1" t="s">
        <v>3012</v>
      </c>
      <c r="AA823" s="36">
        <v>10.963200000000001</v>
      </c>
      <c r="AB823" s="54">
        <v>174.70399999999998</v>
      </c>
      <c r="AC823" s="54">
        <v>9.3079999999999998</v>
      </c>
      <c r="AD823" s="36">
        <v>355.84679999999997</v>
      </c>
    </row>
    <row r="824" spans="1:30" s="37" customFormat="1" ht="15.75" customHeight="1" x14ac:dyDescent="0.2">
      <c r="A824" s="26">
        <v>2157</v>
      </c>
      <c r="B824" s="27" t="s">
        <v>1681</v>
      </c>
      <c r="C824" s="27" t="s">
        <v>48</v>
      </c>
      <c r="D824" s="28">
        <v>0.05</v>
      </c>
      <c r="E824" s="29">
        <v>55.5</v>
      </c>
      <c r="F824" s="29">
        <v>52.2</v>
      </c>
      <c r="G824" s="30" t="s">
        <v>39</v>
      </c>
      <c r="H824" s="27" t="s">
        <v>71</v>
      </c>
      <c r="I824" s="27" t="s">
        <v>29</v>
      </c>
      <c r="J824" s="27" t="s">
        <v>126</v>
      </c>
      <c r="K824" s="27" t="s">
        <v>144</v>
      </c>
      <c r="L824" s="31" t="s">
        <v>1682</v>
      </c>
      <c r="M824" s="32">
        <v>0.72</v>
      </c>
      <c r="N824" s="27" t="s">
        <v>33</v>
      </c>
      <c r="O824" s="27" t="s">
        <v>53</v>
      </c>
      <c r="P824" s="27" t="s">
        <v>289</v>
      </c>
      <c r="Q824" s="27" t="s">
        <v>1683</v>
      </c>
      <c r="R824" s="33">
        <v>48093</v>
      </c>
      <c r="S824" s="34">
        <v>42079</v>
      </c>
      <c r="T824" s="34">
        <v>42079</v>
      </c>
      <c r="U824" s="29">
        <v>-118.54</v>
      </c>
      <c r="V824" s="26">
        <v>4</v>
      </c>
      <c r="W824" s="29">
        <v>253.87</v>
      </c>
      <c r="X824" s="26">
        <v>90385</v>
      </c>
      <c r="Y824" s="35">
        <v>22.8</v>
      </c>
      <c r="Z824" s="1" t="s">
        <v>3012</v>
      </c>
      <c r="AA824" s="36">
        <v>11.100000000000001</v>
      </c>
      <c r="AB824" s="54">
        <v>71.083600000000004</v>
      </c>
      <c r="AC824" s="54">
        <v>45.696599999999997</v>
      </c>
      <c r="AD824" s="36">
        <v>309.11</v>
      </c>
    </row>
    <row r="825" spans="1:30" s="37" customFormat="1" ht="15.75" customHeight="1" x14ac:dyDescent="0.2">
      <c r="A825" s="26">
        <v>2323</v>
      </c>
      <c r="B825" s="27" t="s">
        <v>1675</v>
      </c>
      <c r="C825" s="27" t="s">
        <v>38</v>
      </c>
      <c r="D825" s="28">
        <v>0.04</v>
      </c>
      <c r="E825" s="29">
        <v>21.38</v>
      </c>
      <c r="F825" s="29">
        <v>8.99</v>
      </c>
      <c r="G825" s="30" t="s">
        <v>39</v>
      </c>
      <c r="H825" s="27" t="s">
        <v>3095</v>
      </c>
      <c r="I825" s="27" t="s">
        <v>49</v>
      </c>
      <c r="J825" s="27" t="s">
        <v>50</v>
      </c>
      <c r="K825" s="27" t="s">
        <v>43</v>
      </c>
      <c r="L825" s="31" t="s">
        <v>1677</v>
      </c>
      <c r="M825" s="32">
        <v>0.59</v>
      </c>
      <c r="N825" s="27" t="s">
        <v>33</v>
      </c>
      <c r="O825" s="27" t="s">
        <v>60</v>
      </c>
      <c r="P825" s="27" t="s">
        <v>90</v>
      </c>
      <c r="Q825" s="27" t="s">
        <v>1214</v>
      </c>
      <c r="R825" s="33">
        <v>92236</v>
      </c>
      <c r="S825" s="34">
        <v>42079</v>
      </c>
      <c r="T825" s="34">
        <v>42081</v>
      </c>
      <c r="U825" s="29">
        <v>-52.12</v>
      </c>
      <c r="V825" s="26">
        <v>4</v>
      </c>
      <c r="W825" s="29">
        <v>84.21</v>
      </c>
      <c r="X825" s="26">
        <v>88721</v>
      </c>
      <c r="Y825" s="35">
        <v>55.45</v>
      </c>
      <c r="Z825" s="1" t="s">
        <v>3013</v>
      </c>
      <c r="AA825" s="36">
        <v>3.4207999999999998</v>
      </c>
      <c r="AB825" s="54">
        <v>34.5261</v>
      </c>
      <c r="AC825" s="54">
        <v>12.420974999999999</v>
      </c>
      <c r="AD825" s="36">
        <v>123.91919999999999</v>
      </c>
    </row>
    <row r="826" spans="1:30" s="37" customFormat="1" ht="15.75" customHeight="1" x14ac:dyDescent="0.2">
      <c r="A826" s="26">
        <v>2272</v>
      </c>
      <c r="B826" s="27" t="s">
        <v>1673</v>
      </c>
      <c r="C826" s="27" t="s">
        <v>38</v>
      </c>
      <c r="D826" s="28">
        <v>0.08</v>
      </c>
      <c r="E826" s="29">
        <v>15.73</v>
      </c>
      <c r="F826" s="29">
        <v>7.42</v>
      </c>
      <c r="G826" s="30" t="s">
        <v>87</v>
      </c>
      <c r="H826" s="27" t="s">
        <v>94</v>
      </c>
      <c r="I826" s="27" t="s">
        <v>49</v>
      </c>
      <c r="J826" s="27" t="s">
        <v>568</v>
      </c>
      <c r="K826" s="27" t="s">
        <v>43</v>
      </c>
      <c r="L826" s="31" t="s">
        <v>955</v>
      </c>
      <c r="M826" s="32">
        <v>0.56000000000000005</v>
      </c>
      <c r="N826" s="27" t="s">
        <v>33</v>
      </c>
      <c r="O826" s="27" t="s">
        <v>53</v>
      </c>
      <c r="P826" s="27" t="s">
        <v>187</v>
      </c>
      <c r="Q826" s="27" t="s">
        <v>1674</v>
      </c>
      <c r="R826" s="33">
        <v>76543</v>
      </c>
      <c r="S826" s="34">
        <v>42079</v>
      </c>
      <c r="T826" s="34">
        <v>42081</v>
      </c>
      <c r="U826" s="29">
        <v>-37.6</v>
      </c>
      <c r="V826" s="26">
        <v>5</v>
      </c>
      <c r="W826" s="29">
        <v>78.08</v>
      </c>
      <c r="X826" s="26">
        <v>90110</v>
      </c>
      <c r="Y826" s="35">
        <v>442.09</v>
      </c>
      <c r="Z826" s="1" t="s">
        <v>3012</v>
      </c>
      <c r="AA826" s="36">
        <v>6.2919999999999998</v>
      </c>
      <c r="AB826" s="54">
        <v>34.355199999999996</v>
      </c>
      <c r="AC826" s="54">
        <v>8.7449600000000007</v>
      </c>
      <c r="AD826" s="36">
        <v>101.96799999999999</v>
      </c>
    </row>
    <row r="827" spans="1:30" s="37" customFormat="1" ht="15.75" customHeight="1" x14ac:dyDescent="0.2">
      <c r="A827" s="26">
        <v>853</v>
      </c>
      <c r="B827" s="27" t="s">
        <v>1670</v>
      </c>
      <c r="C827" s="27" t="s">
        <v>38</v>
      </c>
      <c r="D827" s="28">
        <v>0.05</v>
      </c>
      <c r="E827" s="29">
        <v>4.24</v>
      </c>
      <c r="F827" s="29">
        <v>5.41</v>
      </c>
      <c r="G827" s="30" t="s">
        <v>39</v>
      </c>
      <c r="H827" s="27" t="s">
        <v>3095</v>
      </c>
      <c r="I827" s="27" t="s">
        <v>49</v>
      </c>
      <c r="J827" s="27" t="s">
        <v>72</v>
      </c>
      <c r="K827" s="27" t="s">
        <v>73</v>
      </c>
      <c r="L827" s="31" t="s">
        <v>1671</v>
      </c>
      <c r="M827" s="32">
        <v>0.35</v>
      </c>
      <c r="N827" s="27" t="s">
        <v>33</v>
      </c>
      <c r="O827" s="27" t="s">
        <v>60</v>
      </c>
      <c r="P827" s="27" t="s">
        <v>90</v>
      </c>
      <c r="Q827" s="27" t="s">
        <v>1672</v>
      </c>
      <c r="R827" s="33">
        <v>92345</v>
      </c>
      <c r="S827" s="34">
        <v>42079</v>
      </c>
      <c r="T827" s="34">
        <v>42081</v>
      </c>
      <c r="U827" s="29">
        <v>-89.216999999999999</v>
      </c>
      <c r="V827" s="26">
        <v>12</v>
      </c>
      <c r="W827" s="29">
        <v>50.83</v>
      </c>
      <c r="X827" s="26">
        <v>88570</v>
      </c>
      <c r="Y827" s="35">
        <v>387.99</v>
      </c>
      <c r="Z827" s="1" t="s">
        <v>3013</v>
      </c>
      <c r="AA827" s="36">
        <v>2.5440000000000005</v>
      </c>
      <c r="AB827" s="54">
        <v>33.039499999999997</v>
      </c>
      <c r="AC827" s="54">
        <v>1.4825416666666664</v>
      </c>
      <c r="AD827" s="36">
        <v>132.09300000000002</v>
      </c>
    </row>
    <row r="828" spans="1:30" s="37" customFormat="1" ht="15.75" customHeight="1" x14ac:dyDescent="0.2">
      <c r="A828" s="26">
        <v>1711</v>
      </c>
      <c r="B828" s="27" t="s">
        <v>1686</v>
      </c>
      <c r="C828" s="27" t="s">
        <v>3094</v>
      </c>
      <c r="D828" s="28">
        <v>7.0000000000000007E-2</v>
      </c>
      <c r="E828" s="29">
        <v>7.59</v>
      </c>
      <c r="F828" s="29">
        <v>4</v>
      </c>
      <c r="G828" s="30" t="s">
        <v>39</v>
      </c>
      <c r="H828" s="27" t="s">
        <v>94</v>
      </c>
      <c r="I828" s="27" t="s">
        <v>29</v>
      </c>
      <c r="J828" s="27" t="s">
        <v>126</v>
      </c>
      <c r="K828" s="27" t="s">
        <v>51</v>
      </c>
      <c r="L828" s="31" t="s">
        <v>1687</v>
      </c>
      <c r="M828" s="32">
        <v>0.42</v>
      </c>
      <c r="N828" s="27" t="s">
        <v>33</v>
      </c>
      <c r="O828" s="27" t="s">
        <v>34</v>
      </c>
      <c r="P828" s="27" t="s">
        <v>75</v>
      </c>
      <c r="Q828" s="27" t="s">
        <v>1688</v>
      </c>
      <c r="R828" s="33">
        <v>30062</v>
      </c>
      <c r="S828" s="34">
        <v>42079</v>
      </c>
      <c r="T828" s="34">
        <v>42081</v>
      </c>
      <c r="U828" s="29">
        <v>-167.048</v>
      </c>
      <c r="V828" s="26">
        <v>3</v>
      </c>
      <c r="W828" s="29">
        <v>22.48</v>
      </c>
      <c r="X828" s="26">
        <v>87747</v>
      </c>
      <c r="Y828" s="35">
        <v>7.52</v>
      </c>
      <c r="Z828" s="1" t="s">
        <v>3011</v>
      </c>
      <c r="AA828" s="36">
        <v>1.5939000000000001</v>
      </c>
      <c r="AB828" s="54">
        <v>13.038400000000001</v>
      </c>
      <c r="AC828" s="54">
        <v>3.1471999999999998</v>
      </c>
      <c r="AD828" s="36">
        <v>183.9341</v>
      </c>
    </row>
    <row r="829" spans="1:30" s="37" customFormat="1" ht="15.75" customHeight="1" x14ac:dyDescent="0.2">
      <c r="A829" s="26">
        <v>2030</v>
      </c>
      <c r="B829" s="27" t="s">
        <v>1689</v>
      </c>
      <c r="C829" s="27" t="s">
        <v>26</v>
      </c>
      <c r="D829" s="28">
        <v>0</v>
      </c>
      <c r="E829" s="29">
        <v>195.99</v>
      </c>
      <c r="F829" s="29">
        <v>4.2</v>
      </c>
      <c r="G829" s="30" t="s">
        <v>39</v>
      </c>
      <c r="H829" s="27" t="s">
        <v>94</v>
      </c>
      <c r="I829" s="27" t="s">
        <v>41</v>
      </c>
      <c r="J829" s="27" t="s">
        <v>135</v>
      </c>
      <c r="K829" s="27" t="s">
        <v>73</v>
      </c>
      <c r="L829" s="31" t="s">
        <v>1691</v>
      </c>
      <c r="M829" s="32">
        <v>0.6</v>
      </c>
      <c r="N829" s="27" t="s">
        <v>33</v>
      </c>
      <c r="O829" s="27" t="s">
        <v>53</v>
      </c>
      <c r="P829" s="27" t="s">
        <v>187</v>
      </c>
      <c r="Q829" s="27" t="s">
        <v>1027</v>
      </c>
      <c r="R829" s="33">
        <v>75401</v>
      </c>
      <c r="S829" s="34">
        <v>42080</v>
      </c>
      <c r="T829" s="34">
        <v>42082</v>
      </c>
      <c r="U829" s="29">
        <v>1585.5029999999999</v>
      </c>
      <c r="V829" s="26">
        <v>16</v>
      </c>
      <c r="W829" s="29">
        <v>2692.12</v>
      </c>
      <c r="X829" s="26">
        <v>91059</v>
      </c>
      <c r="Y829" s="35">
        <v>120.92999999999999</v>
      </c>
      <c r="Z829" s="1" t="s">
        <v>3012</v>
      </c>
      <c r="AA829" s="36">
        <v>0</v>
      </c>
      <c r="AB829" s="54">
        <v>1076.848</v>
      </c>
      <c r="AC829" s="54">
        <v>100.9545</v>
      </c>
      <c r="AD829" s="36">
        <v>1102.4169999999999</v>
      </c>
    </row>
    <row r="830" spans="1:30" s="37" customFormat="1" ht="15.75" customHeight="1" x14ac:dyDescent="0.2">
      <c r="A830" s="26">
        <v>2030</v>
      </c>
      <c r="B830" s="27" t="s">
        <v>1689</v>
      </c>
      <c r="C830" s="27" t="s">
        <v>26</v>
      </c>
      <c r="D830" s="28">
        <v>0.04</v>
      </c>
      <c r="E830" s="29">
        <v>120.97</v>
      </c>
      <c r="F830" s="29">
        <v>7.11</v>
      </c>
      <c r="G830" s="30" t="s">
        <v>39</v>
      </c>
      <c r="H830" s="27" t="s">
        <v>94</v>
      </c>
      <c r="I830" s="27" t="s">
        <v>41</v>
      </c>
      <c r="J830" s="27" t="s">
        <v>57</v>
      </c>
      <c r="K830" s="27" t="s">
        <v>144</v>
      </c>
      <c r="L830" s="31" t="s">
        <v>1690</v>
      </c>
      <c r="M830" s="32">
        <v>0.36</v>
      </c>
      <c r="N830" s="27" t="s">
        <v>33</v>
      </c>
      <c r="O830" s="27" t="s">
        <v>53</v>
      </c>
      <c r="P830" s="27" t="s">
        <v>187</v>
      </c>
      <c r="Q830" s="27" t="s">
        <v>1027</v>
      </c>
      <c r="R830" s="33">
        <v>75401</v>
      </c>
      <c r="S830" s="34">
        <v>42080</v>
      </c>
      <c r="T830" s="34">
        <v>42080</v>
      </c>
      <c r="U830" s="29">
        <v>1320.5496000000001</v>
      </c>
      <c r="V830" s="26">
        <v>16</v>
      </c>
      <c r="W830" s="29">
        <v>1913.84</v>
      </c>
      <c r="X830" s="26">
        <v>91059</v>
      </c>
      <c r="Y830" s="35">
        <v>195.99</v>
      </c>
      <c r="Z830" s="1" t="s">
        <v>3012</v>
      </c>
      <c r="AA830" s="36">
        <v>77.4208</v>
      </c>
      <c r="AB830" s="54">
        <v>1224.8576</v>
      </c>
      <c r="AC830" s="54">
        <v>43.061399999999999</v>
      </c>
      <c r="AD830" s="36">
        <v>508.75959999999986</v>
      </c>
    </row>
    <row r="831" spans="1:30" s="37" customFormat="1" ht="15.75" customHeight="1" x14ac:dyDescent="0.2">
      <c r="A831" s="26">
        <v>2647</v>
      </c>
      <c r="B831" s="27" t="s">
        <v>1692</v>
      </c>
      <c r="C831" s="27" t="s">
        <v>48</v>
      </c>
      <c r="D831" s="28">
        <v>0.01</v>
      </c>
      <c r="E831" s="29">
        <v>39.979999999999997</v>
      </c>
      <c r="F831" s="29">
        <v>9.1999999999999993</v>
      </c>
      <c r="G831" s="30" t="s">
        <v>39</v>
      </c>
      <c r="H831" s="27" t="s">
        <v>94</v>
      </c>
      <c r="I831" s="27" t="s">
        <v>29</v>
      </c>
      <c r="J831" s="27" t="s">
        <v>126</v>
      </c>
      <c r="K831" s="27" t="s">
        <v>51</v>
      </c>
      <c r="L831" s="31" t="s">
        <v>1695</v>
      </c>
      <c r="M831" s="32">
        <v>0.65</v>
      </c>
      <c r="N831" s="27" t="s">
        <v>33</v>
      </c>
      <c r="O831" s="27" t="s">
        <v>60</v>
      </c>
      <c r="P831" s="27" t="s">
        <v>90</v>
      </c>
      <c r="Q831" s="27" t="s">
        <v>1694</v>
      </c>
      <c r="R831" s="33">
        <v>93309</v>
      </c>
      <c r="S831" s="34">
        <v>42080</v>
      </c>
      <c r="T831" s="34">
        <v>42082</v>
      </c>
      <c r="U831" s="29">
        <v>117.52079999999999</v>
      </c>
      <c r="V831" s="26">
        <v>4</v>
      </c>
      <c r="W831" s="29">
        <v>170.32</v>
      </c>
      <c r="X831" s="26">
        <v>91386</v>
      </c>
      <c r="Y831" s="35">
        <v>10.88</v>
      </c>
      <c r="Z831" s="1" t="s">
        <v>3013</v>
      </c>
      <c r="AA831" s="36">
        <v>1.5992</v>
      </c>
      <c r="AB831" s="54">
        <v>59.611999999999995</v>
      </c>
      <c r="AC831" s="54">
        <v>27.677</v>
      </c>
      <c r="AD831" s="36">
        <v>42</v>
      </c>
    </row>
    <row r="832" spans="1:30" s="37" customFormat="1" ht="15.75" customHeight="1" x14ac:dyDescent="0.2">
      <c r="A832" s="26">
        <v>3001</v>
      </c>
      <c r="B832" s="27" t="s">
        <v>1702</v>
      </c>
      <c r="C832" s="27" t="s">
        <v>3094</v>
      </c>
      <c r="D832" s="28">
        <v>0.03</v>
      </c>
      <c r="E832" s="29">
        <v>5.4</v>
      </c>
      <c r="F832" s="29">
        <v>7.78</v>
      </c>
      <c r="G832" s="30" t="s">
        <v>39</v>
      </c>
      <c r="H832" s="27" t="s">
        <v>40</v>
      </c>
      <c r="I832" s="27" t="s">
        <v>49</v>
      </c>
      <c r="J832" s="27" t="s">
        <v>72</v>
      </c>
      <c r="K832" s="27" t="s">
        <v>73</v>
      </c>
      <c r="L832" s="31" t="s">
        <v>1484</v>
      </c>
      <c r="M832" s="32">
        <v>0.37</v>
      </c>
      <c r="N832" s="27" t="s">
        <v>33</v>
      </c>
      <c r="O832" s="27" t="s">
        <v>53</v>
      </c>
      <c r="P832" s="27" t="s">
        <v>289</v>
      </c>
      <c r="Q832" s="27" t="s">
        <v>1536</v>
      </c>
      <c r="R832" s="33">
        <v>48060</v>
      </c>
      <c r="S832" s="34">
        <v>42080</v>
      </c>
      <c r="T832" s="34">
        <v>42082</v>
      </c>
      <c r="U832" s="29">
        <v>-237.54400000000001</v>
      </c>
      <c r="V832" s="26">
        <v>21</v>
      </c>
      <c r="W832" s="29">
        <v>117.87</v>
      </c>
      <c r="X832" s="26">
        <v>87043</v>
      </c>
      <c r="Y832" s="35">
        <v>39.97</v>
      </c>
      <c r="Z832" s="1" t="s">
        <v>3012</v>
      </c>
      <c r="AA832" s="36">
        <v>3.4020000000000001</v>
      </c>
      <c r="AB832" s="54">
        <v>74.258099999999999</v>
      </c>
      <c r="AC832" s="54">
        <v>2.0767571428571427</v>
      </c>
      <c r="AD832" s="36">
        <v>344.23200000000003</v>
      </c>
    </row>
    <row r="833" spans="1:30" s="37" customFormat="1" ht="15.75" customHeight="1" x14ac:dyDescent="0.2">
      <c r="A833" s="26">
        <v>339</v>
      </c>
      <c r="B833" s="27" t="s">
        <v>1696</v>
      </c>
      <c r="C833" s="27" t="s">
        <v>116</v>
      </c>
      <c r="D833" s="28">
        <v>7.0000000000000007E-2</v>
      </c>
      <c r="E833" s="29">
        <v>7.59</v>
      </c>
      <c r="F833" s="29">
        <v>4</v>
      </c>
      <c r="G833" s="30" t="s">
        <v>39</v>
      </c>
      <c r="H833" s="27" t="s">
        <v>94</v>
      </c>
      <c r="I833" s="27" t="s">
        <v>29</v>
      </c>
      <c r="J833" s="27" t="s">
        <v>126</v>
      </c>
      <c r="K833" s="27" t="s">
        <v>51</v>
      </c>
      <c r="L833" s="31" t="s">
        <v>1687</v>
      </c>
      <c r="M833" s="32">
        <v>0.42</v>
      </c>
      <c r="N833" s="27" t="s">
        <v>33</v>
      </c>
      <c r="O833" s="27" t="s">
        <v>111</v>
      </c>
      <c r="P833" s="27" t="s">
        <v>317</v>
      </c>
      <c r="Q833" s="27" t="s">
        <v>1483</v>
      </c>
      <c r="R833" s="33">
        <v>43229</v>
      </c>
      <c r="S833" s="34">
        <v>42080</v>
      </c>
      <c r="T833" s="34">
        <v>42082</v>
      </c>
      <c r="U833" s="29">
        <v>24.39</v>
      </c>
      <c r="V833" s="26">
        <v>15</v>
      </c>
      <c r="W833" s="29">
        <v>111.88</v>
      </c>
      <c r="X833" s="26">
        <v>90583</v>
      </c>
      <c r="Y833" s="35">
        <v>7.6899999999999995</v>
      </c>
      <c r="Z833" s="1" t="s">
        <v>3014</v>
      </c>
      <c r="AA833" s="36">
        <v>7.9695</v>
      </c>
      <c r="AB833" s="54">
        <v>64.8904</v>
      </c>
      <c r="AC833" s="54">
        <v>3.1326399999999999</v>
      </c>
      <c r="AD833" s="36">
        <v>75.520499999999998</v>
      </c>
    </row>
    <row r="834" spans="1:30" s="37" customFormat="1" ht="15.75" customHeight="1" x14ac:dyDescent="0.2">
      <c r="A834" s="26">
        <v>1808</v>
      </c>
      <c r="B834" s="27" t="s">
        <v>1697</v>
      </c>
      <c r="C834" s="27" t="s">
        <v>116</v>
      </c>
      <c r="D834" s="28">
        <v>0.01</v>
      </c>
      <c r="E834" s="29">
        <v>8.1199999999999992</v>
      </c>
      <c r="F834" s="29">
        <v>2.83</v>
      </c>
      <c r="G834" s="30" t="s">
        <v>87</v>
      </c>
      <c r="H834" s="27" t="s">
        <v>71</v>
      </c>
      <c r="I834" s="27" t="s">
        <v>41</v>
      </c>
      <c r="J834" s="27" t="s">
        <v>42</v>
      </c>
      <c r="K834" s="27" t="s">
        <v>43</v>
      </c>
      <c r="L834" s="31" t="s">
        <v>1698</v>
      </c>
      <c r="M834" s="32">
        <v>0.77</v>
      </c>
      <c r="N834" s="27" t="s">
        <v>33</v>
      </c>
      <c r="O834" s="27" t="s">
        <v>111</v>
      </c>
      <c r="P834" s="27" t="s">
        <v>903</v>
      </c>
      <c r="Q834" s="27" t="s">
        <v>1699</v>
      </c>
      <c r="R834" s="33">
        <v>26101</v>
      </c>
      <c r="S834" s="34">
        <v>42080</v>
      </c>
      <c r="T834" s="34">
        <v>42081</v>
      </c>
      <c r="U834" s="29">
        <v>-40.76</v>
      </c>
      <c r="V834" s="26">
        <v>10</v>
      </c>
      <c r="W834" s="29">
        <v>88.64</v>
      </c>
      <c r="X834" s="26">
        <v>89251</v>
      </c>
      <c r="Y834" s="35">
        <v>7.52</v>
      </c>
      <c r="Z834" s="1" t="s">
        <v>3014</v>
      </c>
      <c r="AA834" s="36">
        <v>0.81199999999999994</v>
      </c>
      <c r="AB834" s="54">
        <v>20.3872</v>
      </c>
      <c r="AC834" s="54">
        <v>6.8252800000000011</v>
      </c>
      <c r="AD834" s="36">
        <v>125.75800000000001</v>
      </c>
    </row>
    <row r="835" spans="1:30" s="37" customFormat="1" ht="15.75" customHeight="1" x14ac:dyDescent="0.2">
      <c r="A835" s="26">
        <v>1364</v>
      </c>
      <c r="B835" s="27" t="s">
        <v>1700</v>
      </c>
      <c r="C835" s="27" t="s">
        <v>3094</v>
      </c>
      <c r="D835" s="28">
        <v>0.1</v>
      </c>
      <c r="E835" s="29">
        <v>5.98</v>
      </c>
      <c r="F835" s="29">
        <v>5.35</v>
      </c>
      <c r="G835" s="30" t="s">
        <v>39</v>
      </c>
      <c r="H835" s="27" t="s">
        <v>71</v>
      </c>
      <c r="I835" s="27" t="s">
        <v>49</v>
      </c>
      <c r="J835" s="27" t="s">
        <v>88</v>
      </c>
      <c r="K835" s="27" t="s">
        <v>73</v>
      </c>
      <c r="L835" s="31" t="s">
        <v>809</v>
      </c>
      <c r="M835" s="32">
        <v>0.4</v>
      </c>
      <c r="N835" s="27" t="s">
        <v>33</v>
      </c>
      <c r="O835" s="27" t="s">
        <v>111</v>
      </c>
      <c r="P835" s="27" t="s">
        <v>418</v>
      </c>
      <c r="Q835" s="27" t="s">
        <v>1701</v>
      </c>
      <c r="R835" s="33">
        <v>20746</v>
      </c>
      <c r="S835" s="34">
        <v>42080</v>
      </c>
      <c r="T835" s="34">
        <v>42080</v>
      </c>
      <c r="U835" s="29">
        <v>-90.26</v>
      </c>
      <c r="V835" s="26">
        <v>10</v>
      </c>
      <c r="W835" s="29">
        <v>57.34</v>
      </c>
      <c r="X835" s="26">
        <v>89994</v>
      </c>
      <c r="Y835" s="35">
        <v>8.11</v>
      </c>
      <c r="Z835" s="1" t="s">
        <v>3014</v>
      </c>
      <c r="AA835" s="36">
        <v>5.98</v>
      </c>
      <c r="AB835" s="54">
        <v>34.404000000000003</v>
      </c>
      <c r="AC835" s="54">
        <v>2.2936000000000001</v>
      </c>
      <c r="AD835" s="36">
        <v>136.27000000000001</v>
      </c>
    </row>
    <row r="836" spans="1:30" s="37" customFormat="1" ht="15.75" customHeight="1" x14ac:dyDescent="0.2">
      <c r="A836" s="26">
        <v>2647</v>
      </c>
      <c r="B836" s="27" t="s">
        <v>1692</v>
      </c>
      <c r="C836" s="27" t="s">
        <v>48</v>
      </c>
      <c r="D836" s="28">
        <v>0.1</v>
      </c>
      <c r="E836" s="29">
        <v>10.98</v>
      </c>
      <c r="F836" s="29">
        <v>3.99</v>
      </c>
      <c r="G836" s="30" t="s">
        <v>39</v>
      </c>
      <c r="H836" s="27" t="s">
        <v>94</v>
      </c>
      <c r="I836" s="27" t="s">
        <v>49</v>
      </c>
      <c r="J836" s="27" t="s">
        <v>95</v>
      </c>
      <c r="K836" s="27" t="s">
        <v>73</v>
      </c>
      <c r="L836" s="31" t="s">
        <v>1693</v>
      </c>
      <c r="M836" s="32">
        <v>0.57999999999999996</v>
      </c>
      <c r="N836" s="27" t="s">
        <v>33</v>
      </c>
      <c r="O836" s="27" t="s">
        <v>60</v>
      </c>
      <c r="P836" s="27" t="s">
        <v>90</v>
      </c>
      <c r="Q836" s="27" t="s">
        <v>1694</v>
      </c>
      <c r="R836" s="33">
        <v>93309</v>
      </c>
      <c r="S836" s="34">
        <v>42080</v>
      </c>
      <c r="T836" s="34">
        <v>42087</v>
      </c>
      <c r="U836" s="29">
        <v>-21.03</v>
      </c>
      <c r="V836" s="26">
        <v>5</v>
      </c>
      <c r="W836" s="29">
        <v>52.21</v>
      </c>
      <c r="X836" s="26">
        <v>91386</v>
      </c>
      <c r="Y836" s="35">
        <v>5.8800000000000008</v>
      </c>
      <c r="Z836" s="1" t="s">
        <v>3013</v>
      </c>
      <c r="AA836" s="36">
        <v>5.49</v>
      </c>
      <c r="AB836" s="54">
        <v>21.928200000000004</v>
      </c>
      <c r="AC836" s="54">
        <v>6.0563599999999997</v>
      </c>
      <c r="AD836" s="36">
        <v>63.76</v>
      </c>
    </row>
    <row r="837" spans="1:30" s="37" customFormat="1" ht="15.75" customHeight="1" x14ac:dyDescent="0.2">
      <c r="A837" s="26">
        <v>339</v>
      </c>
      <c r="B837" s="27" t="s">
        <v>1696</v>
      </c>
      <c r="C837" s="27" t="s">
        <v>116</v>
      </c>
      <c r="D837" s="28">
        <v>0.08</v>
      </c>
      <c r="E837" s="29">
        <v>7.77</v>
      </c>
      <c r="F837" s="29">
        <v>9.23</v>
      </c>
      <c r="G837" s="30" t="s">
        <v>39</v>
      </c>
      <c r="H837" s="27" t="s">
        <v>94</v>
      </c>
      <c r="I837" s="27" t="s">
        <v>49</v>
      </c>
      <c r="J837" s="27" t="s">
        <v>95</v>
      </c>
      <c r="K837" s="27" t="s">
        <v>73</v>
      </c>
      <c r="L837" s="31" t="s">
        <v>477</v>
      </c>
      <c r="M837" s="32">
        <v>0.57999999999999996</v>
      </c>
      <c r="N837" s="27" t="s">
        <v>33</v>
      </c>
      <c r="O837" s="27" t="s">
        <v>111</v>
      </c>
      <c r="P837" s="27" t="s">
        <v>317</v>
      </c>
      <c r="Q837" s="27" t="s">
        <v>1483</v>
      </c>
      <c r="R837" s="33">
        <v>43229</v>
      </c>
      <c r="S837" s="34">
        <v>42080</v>
      </c>
      <c r="T837" s="34">
        <v>42081</v>
      </c>
      <c r="U837" s="29">
        <v>-83.65</v>
      </c>
      <c r="V837" s="26">
        <v>5</v>
      </c>
      <c r="W837" s="29">
        <v>40.299999999999997</v>
      </c>
      <c r="X837" s="26">
        <v>90583</v>
      </c>
      <c r="Y837" s="35">
        <v>5.37</v>
      </c>
      <c r="Z837" s="1" t="s">
        <v>3014</v>
      </c>
      <c r="AA837" s="36">
        <v>3.1079999999999997</v>
      </c>
      <c r="AB837" s="54">
        <v>16.926000000000002</v>
      </c>
      <c r="AC837" s="54">
        <v>4.6747999999999985</v>
      </c>
      <c r="AD837" s="36">
        <v>111.61199999999999</v>
      </c>
    </row>
    <row r="838" spans="1:30" s="37" customFormat="1" ht="15.75" customHeight="1" x14ac:dyDescent="0.2">
      <c r="A838" s="26">
        <v>2747</v>
      </c>
      <c r="B838" s="27" t="s">
        <v>1006</v>
      </c>
      <c r="C838" s="27" t="s">
        <v>116</v>
      </c>
      <c r="D838" s="28">
        <v>0.01</v>
      </c>
      <c r="E838" s="29">
        <v>220.98</v>
      </c>
      <c r="F838" s="29">
        <v>64.66</v>
      </c>
      <c r="G838" s="30" t="s">
        <v>27</v>
      </c>
      <c r="H838" s="27" t="s">
        <v>94</v>
      </c>
      <c r="I838" s="27" t="s">
        <v>29</v>
      </c>
      <c r="J838" s="27" t="s">
        <v>117</v>
      </c>
      <c r="K838" s="27" t="s">
        <v>31</v>
      </c>
      <c r="L838" s="31" t="s">
        <v>1717</v>
      </c>
      <c r="M838" s="32">
        <v>0.62</v>
      </c>
      <c r="N838" s="27" t="s">
        <v>33</v>
      </c>
      <c r="O838" s="27" t="s">
        <v>111</v>
      </c>
      <c r="P838" s="27" t="s">
        <v>112</v>
      </c>
      <c r="Q838" s="27" t="s">
        <v>113</v>
      </c>
      <c r="R838" s="33">
        <v>10115</v>
      </c>
      <c r="S838" s="34">
        <v>42081</v>
      </c>
      <c r="T838" s="34">
        <v>42082</v>
      </c>
      <c r="U838" s="29">
        <v>1049.03</v>
      </c>
      <c r="V838" s="26">
        <v>44</v>
      </c>
      <c r="W838" s="29">
        <v>10364.36</v>
      </c>
      <c r="X838" s="26">
        <v>23751</v>
      </c>
      <c r="Y838" s="35">
        <v>5.8800000000000008</v>
      </c>
      <c r="Z838" s="1" t="s">
        <v>3014</v>
      </c>
      <c r="AA838" s="36">
        <v>97.231200000000001</v>
      </c>
      <c r="AB838" s="54">
        <v>3938.4568000000004</v>
      </c>
      <c r="AC838" s="54">
        <v>146.04325454545454</v>
      </c>
      <c r="AD838" s="36">
        <v>9153.4387999999999</v>
      </c>
    </row>
    <row r="839" spans="1:30" s="37" customFormat="1" ht="15.75" customHeight="1" x14ac:dyDescent="0.2">
      <c r="A839" s="26">
        <v>2745</v>
      </c>
      <c r="B839" s="27" t="s">
        <v>1716</v>
      </c>
      <c r="C839" s="27" t="s">
        <v>116</v>
      </c>
      <c r="D839" s="28">
        <v>0.01</v>
      </c>
      <c r="E839" s="29">
        <v>220.98</v>
      </c>
      <c r="F839" s="29">
        <v>64.66</v>
      </c>
      <c r="G839" s="30" t="s">
        <v>27</v>
      </c>
      <c r="H839" s="27" t="s">
        <v>94</v>
      </c>
      <c r="I839" s="27" t="s">
        <v>29</v>
      </c>
      <c r="J839" s="27" t="s">
        <v>117</v>
      </c>
      <c r="K839" s="27" t="s">
        <v>31</v>
      </c>
      <c r="L839" s="31" t="s">
        <v>1717</v>
      </c>
      <c r="M839" s="32">
        <v>0.62</v>
      </c>
      <c r="N839" s="27" t="s">
        <v>33</v>
      </c>
      <c r="O839" s="27" t="s">
        <v>60</v>
      </c>
      <c r="P839" s="27" t="s">
        <v>588</v>
      </c>
      <c r="Q839" s="27" t="s">
        <v>1718</v>
      </c>
      <c r="R839" s="33">
        <v>85224</v>
      </c>
      <c r="S839" s="34">
        <v>42081</v>
      </c>
      <c r="T839" s="34">
        <v>42082</v>
      </c>
      <c r="U839" s="29">
        <v>1049.03</v>
      </c>
      <c r="V839" s="26">
        <v>11</v>
      </c>
      <c r="W839" s="29">
        <v>2591.09</v>
      </c>
      <c r="X839" s="26">
        <v>86184</v>
      </c>
      <c r="Y839" s="35">
        <v>20.979999999999997</v>
      </c>
      <c r="Z839" s="1" t="s">
        <v>3013</v>
      </c>
      <c r="AA839" s="36">
        <v>24.3078</v>
      </c>
      <c r="AB839" s="54">
        <v>984.6142000000001</v>
      </c>
      <c r="AC839" s="54">
        <v>146.04325454545454</v>
      </c>
      <c r="AD839" s="36">
        <v>1453.0922</v>
      </c>
    </row>
    <row r="840" spans="1:30" s="37" customFormat="1" ht="15.75" customHeight="1" x14ac:dyDescent="0.2">
      <c r="A840" s="26">
        <v>1197</v>
      </c>
      <c r="B840" s="27" t="s">
        <v>1708</v>
      </c>
      <c r="C840" s="27" t="s">
        <v>38</v>
      </c>
      <c r="D840" s="28">
        <v>0.08</v>
      </c>
      <c r="E840" s="29">
        <v>355.98</v>
      </c>
      <c r="F840" s="29">
        <v>58.92</v>
      </c>
      <c r="G840" s="30" t="s">
        <v>27</v>
      </c>
      <c r="H840" s="27" t="s">
        <v>3095</v>
      </c>
      <c r="I840" s="27" t="s">
        <v>29</v>
      </c>
      <c r="J840" s="27" t="s">
        <v>109</v>
      </c>
      <c r="K840" s="27" t="s">
        <v>58</v>
      </c>
      <c r="L840" s="31" t="s">
        <v>694</v>
      </c>
      <c r="M840" s="32">
        <v>0.64</v>
      </c>
      <c r="N840" s="27" t="s">
        <v>33</v>
      </c>
      <c r="O840" s="27" t="s">
        <v>111</v>
      </c>
      <c r="P840" s="27" t="s">
        <v>403</v>
      </c>
      <c r="Q840" s="27" t="s">
        <v>1709</v>
      </c>
      <c r="R840" s="33">
        <v>1776</v>
      </c>
      <c r="S840" s="34">
        <v>42081</v>
      </c>
      <c r="T840" s="34">
        <v>42083</v>
      </c>
      <c r="U840" s="29">
        <v>103.83</v>
      </c>
      <c r="V840" s="26">
        <v>4</v>
      </c>
      <c r="W840" s="29">
        <v>1350.94</v>
      </c>
      <c r="X840" s="26">
        <v>87583</v>
      </c>
      <c r="Y840" s="35">
        <v>355.90000000000003</v>
      </c>
      <c r="Z840" s="1" t="s">
        <v>3014</v>
      </c>
      <c r="AA840" s="36">
        <v>113.9136</v>
      </c>
      <c r="AB840" s="54">
        <v>486.33839999999998</v>
      </c>
      <c r="AC840" s="54">
        <v>216.15040000000002</v>
      </c>
      <c r="AD840" s="36">
        <v>1074.2764000000002</v>
      </c>
    </row>
    <row r="841" spans="1:30" s="37" customFormat="1" ht="15.75" customHeight="1" x14ac:dyDescent="0.2">
      <c r="A841" s="26">
        <v>2030</v>
      </c>
      <c r="B841" s="27" t="s">
        <v>1689</v>
      </c>
      <c r="C841" s="27" t="s">
        <v>116</v>
      </c>
      <c r="D841" s="28">
        <v>0.03</v>
      </c>
      <c r="E841" s="29">
        <v>55.98</v>
      </c>
      <c r="F841" s="29">
        <v>4.8600000000000003</v>
      </c>
      <c r="G841" s="30" t="s">
        <v>39</v>
      </c>
      <c r="H841" s="27" t="s">
        <v>94</v>
      </c>
      <c r="I841" s="27" t="s">
        <v>49</v>
      </c>
      <c r="J841" s="27" t="s">
        <v>88</v>
      </c>
      <c r="K841" s="27" t="s">
        <v>73</v>
      </c>
      <c r="L841" s="31" t="s">
        <v>1715</v>
      </c>
      <c r="M841" s="32">
        <v>0.36</v>
      </c>
      <c r="N841" s="27" t="s">
        <v>33</v>
      </c>
      <c r="O841" s="27" t="s">
        <v>53</v>
      </c>
      <c r="P841" s="27" t="s">
        <v>187</v>
      </c>
      <c r="Q841" s="27" t="s">
        <v>1027</v>
      </c>
      <c r="R841" s="33">
        <v>75401</v>
      </c>
      <c r="S841" s="34">
        <v>42081</v>
      </c>
      <c r="T841" s="34">
        <v>42083</v>
      </c>
      <c r="U841" s="29">
        <v>526.04219999999998</v>
      </c>
      <c r="V841" s="26">
        <v>13</v>
      </c>
      <c r="W841" s="29">
        <v>762.38</v>
      </c>
      <c r="X841" s="26">
        <v>91060</v>
      </c>
      <c r="Y841" s="35">
        <v>26.16</v>
      </c>
      <c r="Z841" s="1" t="s">
        <v>3012</v>
      </c>
      <c r="AA841" s="36">
        <v>21.832199999999997</v>
      </c>
      <c r="AB841" s="54">
        <v>487.92320000000001</v>
      </c>
      <c r="AC841" s="54">
        <v>21.112061538461539</v>
      </c>
      <c r="AD841" s="36">
        <v>209.64560000000006</v>
      </c>
    </row>
    <row r="842" spans="1:30" s="37" customFormat="1" ht="15.75" customHeight="1" x14ac:dyDescent="0.2">
      <c r="A842" s="26">
        <v>1015</v>
      </c>
      <c r="B842" s="27" t="s">
        <v>1711</v>
      </c>
      <c r="C842" s="27" t="s">
        <v>116</v>
      </c>
      <c r="D842" s="28">
        <v>0</v>
      </c>
      <c r="E842" s="29">
        <v>43.98</v>
      </c>
      <c r="F842" s="29">
        <v>8.99</v>
      </c>
      <c r="G842" s="30" t="s">
        <v>39</v>
      </c>
      <c r="H842" s="27" t="s">
        <v>71</v>
      </c>
      <c r="I842" s="27" t="s">
        <v>49</v>
      </c>
      <c r="J842" s="27" t="s">
        <v>50</v>
      </c>
      <c r="K842" s="27" t="s">
        <v>43</v>
      </c>
      <c r="L842" s="31" t="s">
        <v>822</v>
      </c>
      <c r="M842" s="32">
        <v>0.57999999999999996</v>
      </c>
      <c r="N842" s="27" t="s">
        <v>33</v>
      </c>
      <c r="O842" s="27" t="s">
        <v>34</v>
      </c>
      <c r="P842" s="27" t="s">
        <v>97</v>
      </c>
      <c r="Q842" s="27" t="s">
        <v>1712</v>
      </c>
      <c r="R842" s="33">
        <v>27502</v>
      </c>
      <c r="S842" s="34">
        <v>42081</v>
      </c>
      <c r="T842" s="34">
        <v>42081</v>
      </c>
      <c r="U842" s="29">
        <v>829.46699999999998</v>
      </c>
      <c r="V842" s="26">
        <v>14</v>
      </c>
      <c r="W842" s="29">
        <v>650.70000000000005</v>
      </c>
      <c r="X842" s="26">
        <v>88390</v>
      </c>
      <c r="Y842" s="35">
        <v>43.98</v>
      </c>
      <c r="Z842" s="1" t="s">
        <v>3011</v>
      </c>
      <c r="AA842" s="36">
        <v>0</v>
      </c>
      <c r="AB842" s="54">
        <v>273.29400000000004</v>
      </c>
      <c r="AC842" s="54">
        <v>26.957571428571431</v>
      </c>
      <c r="AD842" s="36">
        <v>-187.75699999999995</v>
      </c>
    </row>
    <row r="843" spans="1:30" s="37" customFormat="1" ht="15.75" customHeight="1" x14ac:dyDescent="0.2">
      <c r="A843" s="26">
        <v>1967</v>
      </c>
      <c r="B843" s="27" t="s">
        <v>1713</v>
      </c>
      <c r="C843" s="27" t="s">
        <v>116</v>
      </c>
      <c r="D843" s="28">
        <v>0.01</v>
      </c>
      <c r="E843" s="29">
        <v>78.650000000000006</v>
      </c>
      <c r="F843" s="29">
        <v>13.99</v>
      </c>
      <c r="G843" s="30" t="s">
        <v>87</v>
      </c>
      <c r="H843" s="27" t="s">
        <v>3095</v>
      </c>
      <c r="I843" s="27" t="s">
        <v>49</v>
      </c>
      <c r="J843" s="27" t="s">
        <v>95</v>
      </c>
      <c r="K843" s="27" t="s">
        <v>144</v>
      </c>
      <c r="L843" s="31" t="s">
        <v>1714</v>
      </c>
      <c r="M843" s="32">
        <v>0.52</v>
      </c>
      <c r="N843" s="27" t="s">
        <v>33</v>
      </c>
      <c r="O843" s="27" t="s">
        <v>53</v>
      </c>
      <c r="P843" s="27" t="s">
        <v>213</v>
      </c>
      <c r="Q843" s="27" t="s">
        <v>36</v>
      </c>
      <c r="R843" s="33">
        <v>52732</v>
      </c>
      <c r="S843" s="34">
        <v>42081</v>
      </c>
      <c r="T843" s="34">
        <v>42082</v>
      </c>
      <c r="U843" s="29">
        <v>442.36590000000001</v>
      </c>
      <c r="V843" s="26">
        <v>8</v>
      </c>
      <c r="W843" s="29">
        <v>641.11</v>
      </c>
      <c r="X843" s="26">
        <v>89456</v>
      </c>
      <c r="Y843" s="35">
        <v>78.64</v>
      </c>
      <c r="Z843" s="1" t="s">
        <v>3012</v>
      </c>
      <c r="AA843" s="36">
        <v>6.2920000000000007</v>
      </c>
      <c r="AB843" s="54">
        <v>307.7328</v>
      </c>
      <c r="AC843" s="54">
        <v>41.672150000000002</v>
      </c>
      <c r="AD843" s="36">
        <v>178.46210000000002</v>
      </c>
    </row>
    <row r="844" spans="1:30" s="37" customFormat="1" ht="15.75" customHeight="1" x14ac:dyDescent="0.2">
      <c r="A844" s="26">
        <v>1894</v>
      </c>
      <c r="B844" s="27" t="s">
        <v>1339</v>
      </c>
      <c r="C844" s="27" t="s">
        <v>38</v>
      </c>
      <c r="D844" s="28">
        <v>0.01</v>
      </c>
      <c r="E844" s="29">
        <v>26.17</v>
      </c>
      <c r="F844" s="29">
        <v>1.39</v>
      </c>
      <c r="G844" s="30" t="s">
        <v>39</v>
      </c>
      <c r="H844" s="27" t="s">
        <v>40</v>
      </c>
      <c r="I844" s="27" t="s">
        <v>49</v>
      </c>
      <c r="J844" s="27" t="s">
        <v>345</v>
      </c>
      <c r="K844" s="27" t="s">
        <v>73</v>
      </c>
      <c r="L844" s="31" t="s">
        <v>1710</v>
      </c>
      <c r="M844" s="32">
        <v>0.38</v>
      </c>
      <c r="N844" s="27" t="s">
        <v>33</v>
      </c>
      <c r="O844" s="27" t="s">
        <v>53</v>
      </c>
      <c r="P844" s="27" t="s">
        <v>357</v>
      </c>
      <c r="Q844" s="27" t="s">
        <v>1341</v>
      </c>
      <c r="R844" s="33">
        <v>54915</v>
      </c>
      <c r="S844" s="34">
        <v>42081</v>
      </c>
      <c r="T844" s="34">
        <v>42082</v>
      </c>
      <c r="U844" s="29">
        <v>237.04259999999999</v>
      </c>
      <c r="V844" s="26">
        <v>13</v>
      </c>
      <c r="W844" s="29">
        <v>343.54</v>
      </c>
      <c r="X844" s="26">
        <v>91263</v>
      </c>
      <c r="Y844" s="35">
        <v>55.949999999999996</v>
      </c>
      <c r="Z844" s="1" t="s">
        <v>3012</v>
      </c>
      <c r="AA844" s="36">
        <v>3.4021000000000008</v>
      </c>
      <c r="AB844" s="54">
        <v>212.9948</v>
      </c>
      <c r="AC844" s="54">
        <v>10.041938461538463</v>
      </c>
      <c r="AD844" s="36">
        <v>101.70530000000005</v>
      </c>
    </row>
    <row r="845" spans="1:30" s="37" customFormat="1" ht="15.75" customHeight="1" x14ac:dyDescent="0.2">
      <c r="A845" s="26">
        <v>3191</v>
      </c>
      <c r="B845" s="27" t="s">
        <v>1706</v>
      </c>
      <c r="C845" s="27" t="s">
        <v>26</v>
      </c>
      <c r="D845" s="28">
        <v>0.01</v>
      </c>
      <c r="E845" s="29">
        <v>20.99</v>
      </c>
      <c r="F845" s="29">
        <v>4.8099999999999996</v>
      </c>
      <c r="G845" s="30" t="s">
        <v>39</v>
      </c>
      <c r="H845" s="27" t="s">
        <v>94</v>
      </c>
      <c r="I845" s="27" t="s">
        <v>41</v>
      </c>
      <c r="J845" s="27" t="s">
        <v>135</v>
      </c>
      <c r="K845" s="27" t="s">
        <v>144</v>
      </c>
      <c r="L845" s="31" t="s">
        <v>1431</v>
      </c>
      <c r="M845" s="32">
        <v>0.57999999999999996</v>
      </c>
      <c r="N845" s="27" t="s">
        <v>33</v>
      </c>
      <c r="O845" s="27" t="s">
        <v>53</v>
      </c>
      <c r="P845" s="27" t="s">
        <v>357</v>
      </c>
      <c r="Q845" s="27" t="s">
        <v>1707</v>
      </c>
      <c r="R845" s="33">
        <v>54481</v>
      </c>
      <c r="S845" s="34">
        <v>42081</v>
      </c>
      <c r="T845" s="34">
        <v>42081</v>
      </c>
      <c r="U845" s="29">
        <v>-9.1080000000000005</v>
      </c>
      <c r="V845" s="26">
        <v>5</v>
      </c>
      <c r="W845" s="29">
        <v>93.81</v>
      </c>
      <c r="X845" s="26">
        <v>86447</v>
      </c>
      <c r="Y845" s="35">
        <v>220.97</v>
      </c>
      <c r="Z845" s="1" t="s">
        <v>3012</v>
      </c>
      <c r="AA845" s="36">
        <v>1.0494999999999999</v>
      </c>
      <c r="AB845" s="54">
        <v>39.400200000000005</v>
      </c>
      <c r="AC845" s="54">
        <v>10.881959999999999</v>
      </c>
      <c r="AD845" s="36">
        <v>97.058500000000009</v>
      </c>
    </row>
    <row r="846" spans="1:30" s="37" customFormat="1" ht="15.75" customHeight="1" x14ac:dyDescent="0.2">
      <c r="A846" s="26">
        <v>2127</v>
      </c>
      <c r="B846" s="27" t="s">
        <v>1703</v>
      </c>
      <c r="C846" s="27" t="s">
        <v>26</v>
      </c>
      <c r="D846" s="28">
        <v>0.1</v>
      </c>
      <c r="E846" s="29">
        <v>5.98</v>
      </c>
      <c r="F846" s="29">
        <v>5.14</v>
      </c>
      <c r="G846" s="30" t="s">
        <v>39</v>
      </c>
      <c r="H846" s="27" t="s">
        <v>71</v>
      </c>
      <c r="I846" s="27" t="s">
        <v>49</v>
      </c>
      <c r="J846" s="27" t="s">
        <v>88</v>
      </c>
      <c r="K846" s="27" t="s">
        <v>73</v>
      </c>
      <c r="L846" s="31" t="s">
        <v>1704</v>
      </c>
      <c r="M846" s="32">
        <v>0.36</v>
      </c>
      <c r="N846" s="27" t="s">
        <v>33</v>
      </c>
      <c r="O846" s="27" t="s">
        <v>53</v>
      </c>
      <c r="P846" s="27" t="s">
        <v>289</v>
      </c>
      <c r="Q846" s="27" t="s">
        <v>1705</v>
      </c>
      <c r="R846" s="33">
        <v>48310</v>
      </c>
      <c r="S846" s="34">
        <v>42081</v>
      </c>
      <c r="T846" s="34">
        <v>42083</v>
      </c>
      <c r="U846" s="29">
        <v>-49.53</v>
      </c>
      <c r="V846" s="26">
        <v>6</v>
      </c>
      <c r="W846" s="29">
        <v>33.950000000000003</v>
      </c>
      <c r="X846" s="26">
        <v>88418</v>
      </c>
      <c r="Y846" s="35">
        <v>220.97</v>
      </c>
      <c r="Z846" s="1" t="s">
        <v>3012</v>
      </c>
      <c r="AA846" s="36">
        <v>3.5880000000000005</v>
      </c>
      <c r="AB846" s="54">
        <v>21.728000000000002</v>
      </c>
      <c r="AC846" s="54">
        <v>2.0370000000000004</v>
      </c>
      <c r="AD846" s="36">
        <v>74.75200000000001</v>
      </c>
    </row>
    <row r="847" spans="1:30" s="37" customFormat="1" ht="15.75" customHeight="1" x14ac:dyDescent="0.2">
      <c r="A847" s="26">
        <v>485</v>
      </c>
      <c r="B847" s="27" t="s">
        <v>1719</v>
      </c>
      <c r="C847" s="27" t="s">
        <v>3094</v>
      </c>
      <c r="D847" s="28">
        <v>0.05</v>
      </c>
      <c r="E847" s="29">
        <v>2.88</v>
      </c>
      <c r="F847" s="29">
        <v>0.5</v>
      </c>
      <c r="G847" s="30" t="s">
        <v>39</v>
      </c>
      <c r="H847" s="27" t="s">
        <v>94</v>
      </c>
      <c r="I847" s="27" t="s">
        <v>49</v>
      </c>
      <c r="J847" s="27" t="s">
        <v>152</v>
      </c>
      <c r="K847" s="27" t="s">
        <v>73</v>
      </c>
      <c r="L847" s="31" t="s">
        <v>1720</v>
      </c>
      <c r="M847" s="32">
        <v>0.36</v>
      </c>
      <c r="N847" s="27" t="s">
        <v>33</v>
      </c>
      <c r="O847" s="27" t="s">
        <v>60</v>
      </c>
      <c r="P847" s="27" t="s">
        <v>90</v>
      </c>
      <c r="Q847" s="27" t="s">
        <v>1721</v>
      </c>
      <c r="R847" s="33">
        <v>93727</v>
      </c>
      <c r="S847" s="34">
        <v>42081</v>
      </c>
      <c r="T847" s="34">
        <v>42083</v>
      </c>
      <c r="U847" s="29">
        <v>6.0513000000000003</v>
      </c>
      <c r="V847" s="26">
        <v>3</v>
      </c>
      <c r="W847" s="29">
        <v>8.77</v>
      </c>
      <c r="X847" s="26">
        <v>91062</v>
      </c>
      <c r="Y847" s="35">
        <v>2.83</v>
      </c>
      <c r="Z847" s="1" t="s">
        <v>3013</v>
      </c>
      <c r="AA847" s="36">
        <v>0.43199999999999994</v>
      </c>
      <c r="AB847" s="54">
        <v>5.6128</v>
      </c>
      <c r="AC847" s="54">
        <v>1.0524</v>
      </c>
      <c r="AD847" s="36">
        <v>1.7866999999999997</v>
      </c>
    </row>
    <row r="848" spans="1:30" s="37" customFormat="1" ht="15.75" customHeight="1" x14ac:dyDescent="0.2">
      <c r="A848" s="26">
        <v>771</v>
      </c>
      <c r="B848" s="27" t="s">
        <v>1727</v>
      </c>
      <c r="C848" s="27" t="s">
        <v>26</v>
      </c>
      <c r="D848" s="28">
        <v>0</v>
      </c>
      <c r="E848" s="29">
        <v>299.99</v>
      </c>
      <c r="F848" s="29">
        <v>11.64</v>
      </c>
      <c r="G848" s="30" t="s">
        <v>39</v>
      </c>
      <c r="H848" s="27" t="s">
        <v>3095</v>
      </c>
      <c r="I848" s="27" t="s">
        <v>41</v>
      </c>
      <c r="J848" s="27" t="s">
        <v>64</v>
      </c>
      <c r="K848" s="27" t="s">
        <v>65</v>
      </c>
      <c r="L848" s="31" t="s">
        <v>1729</v>
      </c>
      <c r="M848" s="32">
        <v>0.5</v>
      </c>
      <c r="N848" s="27" t="s">
        <v>33</v>
      </c>
      <c r="O848" s="27" t="s">
        <v>60</v>
      </c>
      <c r="P848" s="27" t="s">
        <v>139</v>
      </c>
      <c r="Q848" s="27" t="s">
        <v>1728</v>
      </c>
      <c r="R848" s="33">
        <v>97068</v>
      </c>
      <c r="S848" s="34">
        <v>42082</v>
      </c>
      <c r="T848" s="34">
        <v>42084</v>
      </c>
      <c r="U848" s="29">
        <v>285.95</v>
      </c>
      <c r="V848" s="26">
        <v>5</v>
      </c>
      <c r="W848" s="29">
        <v>1619.95</v>
      </c>
      <c r="X848" s="26">
        <v>88667</v>
      </c>
      <c r="Y848" s="35">
        <v>5.28</v>
      </c>
      <c r="Z848" s="1" t="s">
        <v>3013</v>
      </c>
      <c r="AA848" s="36">
        <v>0</v>
      </c>
      <c r="AB848" s="54">
        <v>809.97500000000002</v>
      </c>
      <c r="AC848" s="54">
        <v>161.995</v>
      </c>
      <c r="AD848" s="36">
        <v>1322.3600000000001</v>
      </c>
    </row>
    <row r="849" spans="1:30" s="37" customFormat="1" ht="15.75" customHeight="1" x14ac:dyDescent="0.2">
      <c r="A849" s="26">
        <v>2882</v>
      </c>
      <c r="B849" s="27" t="s">
        <v>671</v>
      </c>
      <c r="C849" s="27" t="s">
        <v>38</v>
      </c>
      <c r="D849" s="28">
        <v>7.0000000000000007E-2</v>
      </c>
      <c r="E849" s="29">
        <v>28.99</v>
      </c>
      <c r="F849" s="29">
        <v>8.59</v>
      </c>
      <c r="G849" s="30" t="s">
        <v>39</v>
      </c>
      <c r="H849" s="27" t="s">
        <v>40</v>
      </c>
      <c r="I849" s="27" t="s">
        <v>41</v>
      </c>
      <c r="J849" s="27" t="s">
        <v>135</v>
      </c>
      <c r="K849" s="27" t="s">
        <v>144</v>
      </c>
      <c r="L849" s="31" t="s">
        <v>1029</v>
      </c>
      <c r="M849" s="32">
        <v>0.56000000000000005</v>
      </c>
      <c r="N849" s="27" t="s">
        <v>33</v>
      </c>
      <c r="O849" s="27" t="s">
        <v>34</v>
      </c>
      <c r="P849" s="27" t="s">
        <v>97</v>
      </c>
      <c r="Q849" s="27" t="s">
        <v>673</v>
      </c>
      <c r="R849" s="33">
        <v>28206</v>
      </c>
      <c r="S849" s="34">
        <v>42082</v>
      </c>
      <c r="T849" s="34">
        <v>42082</v>
      </c>
      <c r="U849" s="29">
        <v>-16.063739999999999</v>
      </c>
      <c r="V849" s="26">
        <v>39</v>
      </c>
      <c r="W849" s="29">
        <v>936.8</v>
      </c>
      <c r="X849" s="26">
        <v>16676</v>
      </c>
      <c r="Y849" s="35">
        <v>65.92</v>
      </c>
      <c r="Z849" s="1" t="s">
        <v>3011</v>
      </c>
      <c r="AA849" s="36">
        <v>79.142700000000005</v>
      </c>
      <c r="AB849" s="54">
        <v>412.19199999999995</v>
      </c>
      <c r="AC849" s="54">
        <v>13.451487179487181</v>
      </c>
      <c r="AD849" s="36">
        <v>865.13103999999998</v>
      </c>
    </row>
    <row r="850" spans="1:30" s="37" customFormat="1" ht="15.75" customHeight="1" x14ac:dyDescent="0.2">
      <c r="A850" s="26">
        <v>1854</v>
      </c>
      <c r="B850" s="27" t="s">
        <v>1747</v>
      </c>
      <c r="C850" s="27" t="s">
        <v>3094</v>
      </c>
      <c r="D850" s="28">
        <v>0.02</v>
      </c>
      <c r="E850" s="29">
        <v>30.73</v>
      </c>
      <c r="F850" s="29">
        <v>4</v>
      </c>
      <c r="G850" s="30" t="s">
        <v>39</v>
      </c>
      <c r="H850" s="27" t="s">
        <v>71</v>
      </c>
      <c r="I850" s="27" t="s">
        <v>41</v>
      </c>
      <c r="J850" s="27" t="s">
        <v>42</v>
      </c>
      <c r="K850" s="27" t="s">
        <v>73</v>
      </c>
      <c r="L850" s="31" t="s">
        <v>674</v>
      </c>
      <c r="M850" s="32">
        <v>0.75</v>
      </c>
      <c r="N850" s="27" t="s">
        <v>33</v>
      </c>
      <c r="O850" s="27" t="s">
        <v>111</v>
      </c>
      <c r="P850" s="27" t="s">
        <v>248</v>
      </c>
      <c r="Q850" s="27" t="s">
        <v>1748</v>
      </c>
      <c r="R850" s="33">
        <v>6478</v>
      </c>
      <c r="S850" s="34">
        <v>42082</v>
      </c>
      <c r="T850" s="34">
        <v>42085</v>
      </c>
      <c r="U850" s="29">
        <v>72.78</v>
      </c>
      <c r="V850" s="26">
        <v>16</v>
      </c>
      <c r="W850" s="29">
        <v>522.22</v>
      </c>
      <c r="X850" s="26">
        <v>86847</v>
      </c>
      <c r="Y850" s="35">
        <v>30.650000000000002</v>
      </c>
      <c r="Z850" s="1" t="s">
        <v>3014</v>
      </c>
      <c r="AA850" s="36">
        <v>9.8336000000000006</v>
      </c>
      <c r="AB850" s="54">
        <v>130.55500000000001</v>
      </c>
      <c r="AC850" s="54">
        <v>24.479062500000001</v>
      </c>
      <c r="AD850" s="36">
        <v>435.60640000000001</v>
      </c>
    </row>
    <row r="851" spans="1:30" s="37" customFormat="1" ht="15.75" customHeight="1" x14ac:dyDescent="0.2">
      <c r="A851" s="26">
        <v>770</v>
      </c>
      <c r="B851" s="27" t="s">
        <v>1726</v>
      </c>
      <c r="C851" s="27" t="s">
        <v>26</v>
      </c>
      <c r="D851" s="28">
        <v>0.08</v>
      </c>
      <c r="E851" s="29">
        <v>30.73</v>
      </c>
      <c r="F851" s="29">
        <v>4</v>
      </c>
      <c r="G851" s="30" t="s">
        <v>39</v>
      </c>
      <c r="H851" s="27" t="s">
        <v>3095</v>
      </c>
      <c r="I851" s="27" t="s">
        <v>41</v>
      </c>
      <c r="J851" s="27" t="s">
        <v>42</v>
      </c>
      <c r="K851" s="27" t="s">
        <v>73</v>
      </c>
      <c r="L851" s="31" t="s">
        <v>674</v>
      </c>
      <c r="M851" s="32">
        <v>0.75</v>
      </c>
      <c r="N851" s="27" t="s">
        <v>33</v>
      </c>
      <c r="O851" s="27" t="s">
        <v>60</v>
      </c>
      <c r="P851" s="27" t="s">
        <v>139</v>
      </c>
      <c r="Q851" s="27" t="s">
        <v>1114</v>
      </c>
      <c r="R851" s="33">
        <v>97062</v>
      </c>
      <c r="S851" s="34">
        <v>42082</v>
      </c>
      <c r="T851" s="34">
        <v>42082</v>
      </c>
      <c r="U851" s="29">
        <v>-45.07</v>
      </c>
      <c r="V851" s="26">
        <v>14</v>
      </c>
      <c r="W851" s="29">
        <v>429.33</v>
      </c>
      <c r="X851" s="26">
        <v>88667</v>
      </c>
      <c r="Y851" s="35">
        <v>14.51</v>
      </c>
      <c r="Z851" s="1" t="s">
        <v>3013</v>
      </c>
      <c r="AA851" s="36">
        <v>34.4176</v>
      </c>
      <c r="AB851" s="54">
        <v>107.3325</v>
      </c>
      <c r="AC851" s="54">
        <v>22.99982142857143</v>
      </c>
      <c r="AD851" s="36">
        <v>435.98239999999998</v>
      </c>
    </row>
    <row r="852" spans="1:30" s="37" customFormat="1" ht="15.75" customHeight="1" x14ac:dyDescent="0.2">
      <c r="A852" s="26">
        <v>2840</v>
      </c>
      <c r="B852" s="27" t="s">
        <v>1737</v>
      </c>
      <c r="C852" s="27" t="s">
        <v>38</v>
      </c>
      <c r="D852" s="28">
        <v>0</v>
      </c>
      <c r="E852" s="29">
        <v>21.98</v>
      </c>
      <c r="F852" s="29">
        <v>2.87</v>
      </c>
      <c r="G852" s="30" t="s">
        <v>39</v>
      </c>
      <c r="H852" s="27" t="s">
        <v>94</v>
      </c>
      <c r="I852" s="27" t="s">
        <v>49</v>
      </c>
      <c r="J852" s="27" t="s">
        <v>50</v>
      </c>
      <c r="K852" s="27" t="s">
        <v>43</v>
      </c>
      <c r="L852" s="31" t="s">
        <v>1738</v>
      </c>
      <c r="M852" s="32">
        <v>0.55000000000000004</v>
      </c>
      <c r="N852" s="27" t="s">
        <v>33</v>
      </c>
      <c r="O852" s="27" t="s">
        <v>34</v>
      </c>
      <c r="P852" s="27" t="s">
        <v>123</v>
      </c>
      <c r="Q852" s="27" t="s">
        <v>1739</v>
      </c>
      <c r="R852" s="33">
        <v>33161</v>
      </c>
      <c r="S852" s="34">
        <v>42082</v>
      </c>
      <c r="T852" s="34">
        <v>42083</v>
      </c>
      <c r="U852" s="29">
        <v>21.096</v>
      </c>
      <c r="V852" s="26">
        <v>16</v>
      </c>
      <c r="W852" s="29">
        <v>360.03</v>
      </c>
      <c r="X852" s="26">
        <v>87884</v>
      </c>
      <c r="Y852" s="35">
        <v>299.99</v>
      </c>
      <c r="Z852" s="1" t="s">
        <v>3011</v>
      </c>
      <c r="AA852" s="36">
        <v>0</v>
      </c>
      <c r="AB852" s="54">
        <v>162.01349999999996</v>
      </c>
      <c r="AC852" s="54">
        <v>12.37603125</v>
      </c>
      <c r="AD852" s="36">
        <v>336.06399999999996</v>
      </c>
    </row>
    <row r="853" spans="1:30" s="37" customFormat="1" ht="15.75" customHeight="1" x14ac:dyDescent="0.2">
      <c r="A853" s="26">
        <v>3222</v>
      </c>
      <c r="B853" s="27" t="s">
        <v>1742</v>
      </c>
      <c r="C853" s="27" t="s">
        <v>38</v>
      </c>
      <c r="D853" s="28">
        <v>0.04</v>
      </c>
      <c r="E853" s="29">
        <v>39.479999999999997</v>
      </c>
      <c r="F853" s="29">
        <v>1.99</v>
      </c>
      <c r="G853" s="30" t="s">
        <v>87</v>
      </c>
      <c r="H853" s="27" t="s">
        <v>94</v>
      </c>
      <c r="I853" s="27" t="s">
        <v>41</v>
      </c>
      <c r="J853" s="27" t="s">
        <v>42</v>
      </c>
      <c r="K853" s="27" t="s">
        <v>43</v>
      </c>
      <c r="L853" s="31" t="s">
        <v>1257</v>
      </c>
      <c r="M853" s="32">
        <v>0.54</v>
      </c>
      <c r="N853" s="27" t="s">
        <v>33</v>
      </c>
      <c r="O853" s="27" t="s">
        <v>34</v>
      </c>
      <c r="P853" s="27" t="s">
        <v>123</v>
      </c>
      <c r="Q853" s="27" t="s">
        <v>1743</v>
      </c>
      <c r="R853" s="33">
        <v>32303</v>
      </c>
      <c r="S853" s="34">
        <v>42082</v>
      </c>
      <c r="T853" s="34">
        <v>42082</v>
      </c>
      <c r="U853" s="29">
        <v>-1535.4864</v>
      </c>
      <c r="V853" s="26">
        <v>8</v>
      </c>
      <c r="W853" s="29">
        <v>332.16</v>
      </c>
      <c r="X853" s="26">
        <v>90814</v>
      </c>
      <c r="Y853" s="35">
        <v>24.82</v>
      </c>
      <c r="Z853" s="1" t="s">
        <v>3011</v>
      </c>
      <c r="AA853" s="36">
        <v>12.633599999999999</v>
      </c>
      <c r="AB853" s="54">
        <v>152.7936</v>
      </c>
      <c r="AC853" s="54">
        <v>22.420800000000003</v>
      </c>
      <c r="AD853" s="36">
        <v>1853.0228000000002</v>
      </c>
    </row>
    <row r="854" spans="1:30" s="37" customFormat="1" ht="15.75" customHeight="1" x14ac:dyDescent="0.2">
      <c r="A854" s="26">
        <v>383</v>
      </c>
      <c r="B854" s="27" t="s">
        <v>1722</v>
      </c>
      <c r="C854" s="27" t="s">
        <v>26</v>
      </c>
      <c r="D854" s="28">
        <v>7.0000000000000007E-2</v>
      </c>
      <c r="E854" s="29">
        <v>65.989999999999995</v>
      </c>
      <c r="F854" s="29">
        <v>5.26</v>
      </c>
      <c r="G854" s="30" t="s">
        <v>87</v>
      </c>
      <c r="H854" s="27" t="s">
        <v>94</v>
      </c>
      <c r="I854" s="27" t="s">
        <v>41</v>
      </c>
      <c r="J854" s="27" t="s">
        <v>135</v>
      </c>
      <c r="K854" s="27" t="s">
        <v>73</v>
      </c>
      <c r="L854" s="31" t="s">
        <v>1725</v>
      </c>
      <c r="M854" s="32">
        <v>0.56000000000000005</v>
      </c>
      <c r="N854" s="27" t="s">
        <v>33</v>
      </c>
      <c r="O854" s="27" t="s">
        <v>111</v>
      </c>
      <c r="P854" s="27" t="s">
        <v>320</v>
      </c>
      <c r="Q854" s="27" t="s">
        <v>1724</v>
      </c>
      <c r="R854" s="33">
        <v>19026</v>
      </c>
      <c r="S854" s="34">
        <v>42082</v>
      </c>
      <c r="T854" s="34">
        <v>42084</v>
      </c>
      <c r="U854" s="29">
        <v>107.08199999999999</v>
      </c>
      <c r="V854" s="26">
        <v>5</v>
      </c>
      <c r="W854" s="29">
        <v>279.83</v>
      </c>
      <c r="X854" s="26">
        <v>88928</v>
      </c>
      <c r="Y854" s="35">
        <v>12.28</v>
      </c>
      <c r="Z854" s="1" t="s">
        <v>3014</v>
      </c>
      <c r="AA854" s="36">
        <v>23.096499999999999</v>
      </c>
      <c r="AB854" s="54">
        <v>123.12519999999998</v>
      </c>
      <c r="AC854" s="54">
        <v>31.340959999999999</v>
      </c>
      <c r="AD854" s="36">
        <v>144.39149999999998</v>
      </c>
    </row>
    <row r="855" spans="1:30" s="37" customFormat="1" ht="15.75" customHeight="1" x14ac:dyDescent="0.2">
      <c r="A855" s="26">
        <v>2884</v>
      </c>
      <c r="B855" s="27" t="s">
        <v>1740</v>
      </c>
      <c r="C855" s="27" t="s">
        <v>38</v>
      </c>
      <c r="D855" s="28">
        <v>7.0000000000000007E-2</v>
      </c>
      <c r="E855" s="29">
        <v>28.99</v>
      </c>
      <c r="F855" s="29">
        <v>8.59</v>
      </c>
      <c r="G855" s="30" t="s">
        <v>39</v>
      </c>
      <c r="H855" s="27" t="s">
        <v>40</v>
      </c>
      <c r="I855" s="27" t="s">
        <v>41</v>
      </c>
      <c r="J855" s="27" t="s">
        <v>135</v>
      </c>
      <c r="K855" s="27" t="s">
        <v>144</v>
      </c>
      <c r="L855" s="31" t="s">
        <v>1029</v>
      </c>
      <c r="M855" s="32">
        <v>0.56000000000000005</v>
      </c>
      <c r="N855" s="27" t="s">
        <v>33</v>
      </c>
      <c r="O855" s="27" t="s">
        <v>111</v>
      </c>
      <c r="P855" s="27" t="s">
        <v>317</v>
      </c>
      <c r="Q855" s="27" t="s">
        <v>1741</v>
      </c>
      <c r="R855" s="33">
        <v>44039</v>
      </c>
      <c r="S855" s="34">
        <v>42082</v>
      </c>
      <c r="T855" s="34">
        <v>42082</v>
      </c>
      <c r="U855" s="29">
        <v>-12.077999999999999</v>
      </c>
      <c r="V855" s="26">
        <v>10</v>
      </c>
      <c r="W855" s="29">
        <v>240.21</v>
      </c>
      <c r="X855" s="26">
        <v>87631</v>
      </c>
      <c r="Y855" s="35">
        <v>40.94</v>
      </c>
      <c r="Z855" s="1" t="s">
        <v>3014</v>
      </c>
      <c r="AA855" s="36">
        <v>20.292999999999999</v>
      </c>
      <c r="AB855" s="54">
        <v>105.69239999999999</v>
      </c>
      <c r="AC855" s="54">
        <v>13.451760000000002</v>
      </c>
      <c r="AD855" s="36">
        <v>223.405</v>
      </c>
    </row>
    <row r="856" spans="1:30" s="37" customFormat="1" ht="15.75" customHeight="1" x14ac:dyDescent="0.2">
      <c r="A856" s="26">
        <v>2621</v>
      </c>
      <c r="B856" s="27" t="s">
        <v>1734</v>
      </c>
      <c r="C856" s="27" t="s">
        <v>38</v>
      </c>
      <c r="D856" s="28">
        <v>0.03</v>
      </c>
      <c r="E856" s="29">
        <v>40.97</v>
      </c>
      <c r="F856" s="29">
        <v>8.99</v>
      </c>
      <c r="G856" s="30" t="s">
        <v>87</v>
      </c>
      <c r="H856" s="27" t="s">
        <v>94</v>
      </c>
      <c r="I856" s="27" t="s">
        <v>49</v>
      </c>
      <c r="J856" s="27" t="s">
        <v>50</v>
      </c>
      <c r="K856" s="27" t="s">
        <v>43</v>
      </c>
      <c r="L856" s="31" t="s">
        <v>1735</v>
      </c>
      <c r="M856" s="32">
        <v>0.59</v>
      </c>
      <c r="N856" s="27" t="s">
        <v>33</v>
      </c>
      <c r="O856" s="27" t="s">
        <v>34</v>
      </c>
      <c r="P856" s="27" t="s">
        <v>400</v>
      </c>
      <c r="Q856" s="27" t="s">
        <v>1736</v>
      </c>
      <c r="R856" s="33">
        <v>37027</v>
      </c>
      <c r="S856" s="34">
        <v>42082</v>
      </c>
      <c r="T856" s="34">
        <v>42083</v>
      </c>
      <c r="U856" s="29">
        <v>-177.05799999999999</v>
      </c>
      <c r="V856" s="26">
        <v>5</v>
      </c>
      <c r="W856" s="29">
        <v>207.22</v>
      </c>
      <c r="X856" s="26">
        <v>88016</v>
      </c>
      <c r="Y856" s="35">
        <v>21.98</v>
      </c>
      <c r="Z856" s="1" t="s">
        <v>3011</v>
      </c>
      <c r="AA856" s="36">
        <v>6.1454999999999993</v>
      </c>
      <c r="AB856" s="54">
        <v>84.9602</v>
      </c>
      <c r="AC856" s="54">
        <v>24.45196</v>
      </c>
      <c r="AD856" s="36">
        <v>369.14249999999998</v>
      </c>
    </row>
    <row r="857" spans="1:30" s="37" customFormat="1" ht="15.75" customHeight="1" x14ac:dyDescent="0.2">
      <c r="A857" s="26">
        <v>3222</v>
      </c>
      <c r="B857" s="27" t="s">
        <v>1742</v>
      </c>
      <c r="C857" s="27" t="s">
        <v>38</v>
      </c>
      <c r="D857" s="28">
        <v>0</v>
      </c>
      <c r="E857" s="29">
        <v>8.1199999999999992</v>
      </c>
      <c r="F857" s="29">
        <v>2.83</v>
      </c>
      <c r="G857" s="30" t="s">
        <v>39</v>
      </c>
      <c r="H857" s="27" t="s">
        <v>94</v>
      </c>
      <c r="I857" s="27" t="s">
        <v>41</v>
      </c>
      <c r="J857" s="27" t="s">
        <v>42</v>
      </c>
      <c r="K857" s="27" t="s">
        <v>43</v>
      </c>
      <c r="L857" s="31" t="s">
        <v>1698</v>
      </c>
      <c r="M857" s="32">
        <v>0.77</v>
      </c>
      <c r="N857" s="27" t="s">
        <v>33</v>
      </c>
      <c r="O857" s="27" t="s">
        <v>34</v>
      </c>
      <c r="P857" s="27" t="s">
        <v>123</v>
      </c>
      <c r="Q857" s="27" t="s">
        <v>1743</v>
      </c>
      <c r="R857" s="33">
        <v>32303</v>
      </c>
      <c r="S857" s="34">
        <v>42082</v>
      </c>
      <c r="T857" s="34">
        <v>42083</v>
      </c>
      <c r="U857" s="29">
        <v>-159.32</v>
      </c>
      <c r="V857" s="26">
        <v>17</v>
      </c>
      <c r="W857" s="29">
        <v>147.62</v>
      </c>
      <c r="X857" s="26">
        <v>90814</v>
      </c>
      <c r="Y857" s="35">
        <v>28.919999999999998</v>
      </c>
      <c r="Z857" s="1" t="s">
        <v>3011</v>
      </c>
      <c r="AA857" s="36">
        <v>0</v>
      </c>
      <c r="AB857" s="54">
        <v>33.952599999999997</v>
      </c>
      <c r="AC857" s="54">
        <v>6.6863176470588241</v>
      </c>
      <c r="AD857" s="36">
        <v>304.11</v>
      </c>
    </row>
    <row r="858" spans="1:30" s="37" customFormat="1" ht="15.75" customHeight="1" x14ac:dyDescent="0.2">
      <c r="A858" s="26">
        <v>2502</v>
      </c>
      <c r="B858" s="27" t="s">
        <v>1730</v>
      </c>
      <c r="C858" s="27" t="s">
        <v>38</v>
      </c>
      <c r="D858" s="28">
        <v>0</v>
      </c>
      <c r="E858" s="29">
        <v>12.28</v>
      </c>
      <c r="F858" s="29">
        <v>6.35</v>
      </c>
      <c r="G858" s="30" t="s">
        <v>87</v>
      </c>
      <c r="H858" s="27" t="s">
        <v>71</v>
      </c>
      <c r="I858" s="27" t="s">
        <v>49</v>
      </c>
      <c r="J858" s="27" t="s">
        <v>88</v>
      </c>
      <c r="K858" s="27" t="s">
        <v>73</v>
      </c>
      <c r="L858" s="31" t="s">
        <v>1733</v>
      </c>
      <c r="M858" s="32">
        <v>0.38</v>
      </c>
      <c r="N858" s="27" t="s">
        <v>33</v>
      </c>
      <c r="O858" s="27" t="s">
        <v>53</v>
      </c>
      <c r="P858" s="27" t="s">
        <v>54</v>
      </c>
      <c r="Q858" s="27" t="s">
        <v>1732</v>
      </c>
      <c r="R858" s="33">
        <v>46321</v>
      </c>
      <c r="S858" s="34">
        <v>42082</v>
      </c>
      <c r="T858" s="34">
        <v>42083</v>
      </c>
      <c r="U858" s="29">
        <v>30.63</v>
      </c>
      <c r="V858" s="26">
        <v>7</v>
      </c>
      <c r="W858" s="29">
        <v>90.44</v>
      </c>
      <c r="X858" s="26">
        <v>91310</v>
      </c>
      <c r="Y858" s="35">
        <v>28.919999999999998</v>
      </c>
      <c r="Z858" s="1" t="s">
        <v>3012</v>
      </c>
      <c r="AA858" s="36">
        <v>0</v>
      </c>
      <c r="AB858" s="54">
        <v>56.072800000000001</v>
      </c>
      <c r="AC858" s="54">
        <v>4.9096000000000002</v>
      </c>
      <c r="AD858" s="36">
        <v>53.46</v>
      </c>
    </row>
    <row r="859" spans="1:30" s="37" customFormat="1" ht="15.75" customHeight="1" x14ac:dyDescent="0.2">
      <c r="A859" s="26">
        <v>2502</v>
      </c>
      <c r="B859" s="27" t="s">
        <v>1730</v>
      </c>
      <c r="C859" s="27" t="s">
        <v>38</v>
      </c>
      <c r="D859" s="28">
        <v>0.1</v>
      </c>
      <c r="E859" s="29">
        <v>24.92</v>
      </c>
      <c r="F859" s="29">
        <v>12.98</v>
      </c>
      <c r="G859" s="30" t="s">
        <v>39</v>
      </c>
      <c r="H859" s="27" t="s">
        <v>71</v>
      </c>
      <c r="I859" s="27" t="s">
        <v>49</v>
      </c>
      <c r="J859" s="27" t="s">
        <v>72</v>
      </c>
      <c r="K859" s="27" t="s">
        <v>73</v>
      </c>
      <c r="L859" s="31" t="s">
        <v>1731</v>
      </c>
      <c r="M859" s="32">
        <v>0.39</v>
      </c>
      <c r="N859" s="27" t="s">
        <v>33</v>
      </c>
      <c r="O859" s="27" t="s">
        <v>53</v>
      </c>
      <c r="P859" s="27" t="s">
        <v>54</v>
      </c>
      <c r="Q859" s="27" t="s">
        <v>1732</v>
      </c>
      <c r="R859" s="33">
        <v>46321</v>
      </c>
      <c r="S859" s="34">
        <v>42082</v>
      </c>
      <c r="T859" s="34">
        <v>42082</v>
      </c>
      <c r="U859" s="29">
        <v>-45.816000000000003</v>
      </c>
      <c r="V859" s="26">
        <v>3</v>
      </c>
      <c r="W859" s="29">
        <v>70.819999999999993</v>
      </c>
      <c r="X859" s="26">
        <v>91310</v>
      </c>
      <c r="Y859" s="35">
        <v>39.44</v>
      </c>
      <c r="Z859" s="1" t="s">
        <v>3012</v>
      </c>
      <c r="AA859" s="36">
        <v>7.4760000000000009</v>
      </c>
      <c r="AB859" s="54">
        <v>43.200199999999995</v>
      </c>
      <c r="AC859" s="54">
        <v>9.2065999999999999</v>
      </c>
      <c r="AD859" s="36">
        <v>96.179999999999993</v>
      </c>
    </row>
    <row r="860" spans="1:30" s="37" customFormat="1" ht="15.75" customHeight="1" x14ac:dyDescent="0.2">
      <c r="A860" s="26">
        <v>1852</v>
      </c>
      <c r="B860" s="27" t="s">
        <v>1744</v>
      </c>
      <c r="C860" s="27" t="s">
        <v>3094</v>
      </c>
      <c r="D860" s="28">
        <v>0.06</v>
      </c>
      <c r="E860" s="29">
        <v>6.48</v>
      </c>
      <c r="F860" s="29">
        <v>5.14</v>
      </c>
      <c r="G860" s="30" t="s">
        <v>87</v>
      </c>
      <c r="H860" s="27" t="s">
        <v>71</v>
      </c>
      <c r="I860" s="27" t="s">
        <v>49</v>
      </c>
      <c r="J860" s="27" t="s">
        <v>88</v>
      </c>
      <c r="K860" s="27" t="s">
        <v>73</v>
      </c>
      <c r="L860" s="31" t="s">
        <v>1745</v>
      </c>
      <c r="M860" s="32">
        <v>0.37</v>
      </c>
      <c r="N860" s="27" t="s">
        <v>33</v>
      </c>
      <c r="O860" s="27" t="s">
        <v>60</v>
      </c>
      <c r="P860" s="27" t="s">
        <v>90</v>
      </c>
      <c r="Q860" s="27" t="s">
        <v>1746</v>
      </c>
      <c r="R860" s="33">
        <v>92008</v>
      </c>
      <c r="S860" s="34">
        <v>42082</v>
      </c>
      <c r="T860" s="34">
        <v>42084</v>
      </c>
      <c r="U860" s="29">
        <v>-28.45</v>
      </c>
      <c r="V860" s="26">
        <v>10</v>
      </c>
      <c r="W860" s="29">
        <v>68.34</v>
      </c>
      <c r="X860" s="26">
        <v>86847</v>
      </c>
      <c r="Y860" s="35">
        <v>8.1199999999999992</v>
      </c>
      <c r="Z860" s="1" t="s">
        <v>3013</v>
      </c>
      <c r="AA860" s="36">
        <v>3.8880000000000003</v>
      </c>
      <c r="AB860" s="54">
        <v>43.054200000000002</v>
      </c>
      <c r="AC860" s="54">
        <v>2.5285800000000003</v>
      </c>
      <c r="AD860" s="36">
        <v>87.762</v>
      </c>
    </row>
    <row r="861" spans="1:30" s="37" customFormat="1" ht="15.75" customHeight="1" x14ac:dyDescent="0.2">
      <c r="A861" s="26">
        <v>771</v>
      </c>
      <c r="B861" s="27" t="s">
        <v>1727</v>
      </c>
      <c r="C861" s="27" t="s">
        <v>26</v>
      </c>
      <c r="D861" s="28">
        <v>0.05</v>
      </c>
      <c r="E861" s="29">
        <v>14.56</v>
      </c>
      <c r="F861" s="29">
        <v>3.5</v>
      </c>
      <c r="G861" s="30" t="s">
        <v>39</v>
      </c>
      <c r="H861" s="27" t="s">
        <v>3095</v>
      </c>
      <c r="I861" s="27" t="s">
        <v>49</v>
      </c>
      <c r="J861" s="27" t="s">
        <v>95</v>
      </c>
      <c r="K861" s="27" t="s">
        <v>73</v>
      </c>
      <c r="L861" s="31" t="s">
        <v>334</v>
      </c>
      <c r="M861" s="32">
        <v>0.57999999999999996</v>
      </c>
      <c r="N861" s="27" t="s">
        <v>33</v>
      </c>
      <c r="O861" s="27" t="s">
        <v>60</v>
      </c>
      <c r="P861" s="27" t="s">
        <v>139</v>
      </c>
      <c r="Q861" s="27" t="s">
        <v>1728</v>
      </c>
      <c r="R861" s="33">
        <v>97068</v>
      </c>
      <c r="S861" s="34">
        <v>42082</v>
      </c>
      <c r="T861" s="34">
        <v>42084</v>
      </c>
      <c r="U861" s="29">
        <v>-8.5299999999999994</v>
      </c>
      <c r="V861" s="26">
        <v>3</v>
      </c>
      <c r="W861" s="29">
        <v>44.66</v>
      </c>
      <c r="X861" s="26">
        <v>88667</v>
      </c>
      <c r="Y861" s="35">
        <v>6.4200000000000008</v>
      </c>
      <c r="Z861" s="1" t="s">
        <v>3013</v>
      </c>
      <c r="AA861" s="36">
        <v>2.1840000000000002</v>
      </c>
      <c r="AB861" s="54">
        <v>18.757200000000001</v>
      </c>
      <c r="AC861" s="54">
        <v>8.6342666666666652</v>
      </c>
      <c r="AD861" s="36">
        <v>47.505999999999993</v>
      </c>
    </row>
    <row r="862" spans="1:30" s="37" customFormat="1" ht="15.75" customHeight="1" x14ac:dyDescent="0.2">
      <c r="A862" s="26">
        <v>383</v>
      </c>
      <c r="B862" s="27" t="s">
        <v>1722</v>
      </c>
      <c r="C862" s="27" t="s">
        <v>26</v>
      </c>
      <c r="D862" s="28">
        <v>0.06</v>
      </c>
      <c r="E862" s="29">
        <v>5.34</v>
      </c>
      <c r="F862" s="29">
        <v>5.63</v>
      </c>
      <c r="G862" s="30" t="s">
        <v>39</v>
      </c>
      <c r="H862" s="27" t="s">
        <v>94</v>
      </c>
      <c r="I862" s="27" t="s">
        <v>49</v>
      </c>
      <c r="J862" s="27" t="s">
        <v>72</v>
      </c>
      <c r="K862" s="27" t="s">
        <v>73</v>
      </c>
      <c r="L862" s="31" t="s">
        <v>1723</v>
      </c>
      <c r="M862" s="32">
        <v>0.39</v>
      </c>
      <c r="N862" s="27" t="s">
        <v>33</v>
      </c>
      <c r="O862" s="27" t="s">
        <v>111</v>
      </c>
      <c r="P862" s="27" t="s">
        <v>320</v>
      </c>
      <c r="Q862" s="27" t="s">
        <v>1724</v>
      </c>
      <c r="R862" s="33">
        <v>19026</v>
      </c>
      <c r="S862" s="34">
        <v>42082</v>
      </c>
      <c r="T862" s="34">
        <v>42082</v>
      </c>
      <c r="U862" s="29">
        <v>-82.822999999999993</v>
      </c>
      <c r="V862" s="26">
        <v>7</v>
      </c>
      <c r="W862" s="29">
        <v>38.65</v>
      </c>
      <c r="X862" s="26">
        <v>88928</v>
      </c>
      <c r="Y862" s="35">
        <v>30.71</v>
      </c>
      <c r="Z862" s="1" t="s">
        <v>3014</v>
      </c>
      <c r="AA862" s="36">
        <v>2.2427999999999999</v>
      </c>
      <c r="AB862" s="54">
        <v>23.576499999999999</v>
      </c>
      <c r="AC862" s="54">
        <v>2.1533571428571427</v>
      </c>
      <c r="AD862" s="36">
        <v>113.6002</v>
      </c>
    </row>
    <row r="863" spans="1:30" s="37" customFormat="1" ht="15.75" customHeight="1" x14ac:dyDescent="0.2">
      <c r="A863" s="26">
        <v>2639</v>
      </c>
      <c r="B863" s="27" t="s">
        <v>1749</v>
      </c>
      <c r="C863" s="27" t="s">
        <v>3094</v>
      </c>
      <c r="D863" s="28">
        <v>0.05</v>
      </c>
      <c r="E863" s="29">
        <v>4.9800000000000004</v>
      </c>
      <c r="F863" s="29">
        <v>0.49</v>
      </c>
      <c r="G863" s="30" t="s">
        <v>39</v>
      </c>
      <c r="H863" s="27" t="s">
        <v>40</v>
      </c>
      <c r="I863" s="27" t="s">
        <v>49</v>
      </c>
      <c r="J863" s="27" t="s">
        <v>152</v>
      </c>
      <c r="K863" s="27" t="s">
        <v>73</v>
      </c>
      <c r="L863" s="31" t="s">
        <v>1103</v>
      </c>
      <c r="M863" s="32">
        <v>0.39</v>
      </c>
      <c r="N863" s="27" t="s">
        <v>33</v>
      </c>
      <c r="O863" s="27" t="s">
        <v>60</v>
      </c>
      <c r="P863" s="27" t="s">
        <v>640</v>
      </c>
      <c r="Q863" s="27" t="s">
        <v>195</v>
      </c>
      <c r="R863" s="33">
        <v>88201</v>
      </c>
      <c r="S863" s="34">
        <v>42082</v>
      </c>
      <c r="T863" s="34">
        <v>42082</v>
      </c>
      <c r="U863" s="29">
        <v>3.84</v>
      </c>
      <c r="V863" s="26">
        <v>3</v>
      </c>
      <c r="W863" s="29">
        <v>14.2</v>
      </c>
      <c r="X863" s="26">
        <v>90952</v>
      </c>
      <c r="Y863" s="35">
        <v>4.9300000000000006</v>
      </c>
      <c r="Z863" s="1" t="s">
        <v>3013</v>
      </c>
      <c r="AA863" s="36">
        <v>0.74700000000000011</v>
      </c>
      <c r="AB863" s="54">
        <v>8.661999999999999</v>
      </c>
      <c r="AC863" s="54">
        <v>1.8460000000000001</v>
      </c>
      <c r="AD863" s="36">
        <v>9.1229999999999993</v>
      </c>
    </row>
    <row r="864" spans="1:30" s="37" customFormat="1" ht="15.75" customHeight="1" x14ac:dyDescent="0.2">
      <c r="A864" s="26">
        <v>3106</v>
      </c>
      <c r="B864" s="27" t="s">
        <v>1752</v>
      </c>
      <c r="C864" s="27" t="s">
        <v>26</v>
      </c>
      <c r="D864" s="28">
        <v>0.04</v>
      </c>
      <c r="E864" s="29">
        <v>125.99</v>
      </c>
      <c r="F864" s="29">
        <v>4.2</v>
      </c>
      <c r="G864" s="30" t="s">
        <v>39</v>
      </c>
      <c r="H864" s="27" t="s">
        <v>71</v>
      </c>
      <c r="I864" s="27" t="s">
        <v>41</v>
      </c>
      <c r="J864" s="27" t="s">
        <v>135</v>
      </c>
      <c r="K864" s="27" t="s">
        <v>73</v>
      </c>
      <c r="L864" s="31" t="s">
        <v>1426</v>
      </c>
      <c r="M864" s="32">
        <v>0.59</v>
      </c>
      <c r="N864" s="27" t="s">
        <v>33</v>
      </c>
      <c r="O864" s="27" t="s">
        <v>53</v>
      </c>
      <c r="P864" s="27" t="s">
        <v>187</v>
      </c>
      <c r="Q864" s="27" t="s">
        <v>1753</v>
      </c>
      <c r="R864" s="33">
        <v>77041</v>
      </c>
      <c r="S864" s="34">
        <v>42083</v>
      </c>
      <c r="T864" s="34">
        <v>42085</v>
      </c>
      <c r="U864" s="29">
        <v>510.48899999999998</v>
      </c>
      <c r="V864" s="26">
        <v>47</v>
      </c>
      <c r="W864" s="29">
        <v>4976.92</v>
      </c>
      <c r="X864" s="26">
        <v>548</v>
      </c>
      <c r="Y864" s="35">
        <v>3.04</v>
      </c>
      <c r="Z864" s="1" t="s">
        <v>3012</v>
      </c>
      <c r="AA864" s="36">
        <v>236.8612</v>
      </c>
      <c r="AB864" s="54">
        <v>2040.5372000000002</v>
      </c>
      <c r="AC864" s="54">
        <v>62.47622978723404</v>
      </c>
      <c r="AD864" s="36">
        <v>4225.3698000000004</v>
      </c>
    </row>
    <row r="865" spans="1:30" s="37" customFormat="1" ht="15.75" customHeight="1" x14ac:dyDescent="0.2">
      <c r="A865" s="26">
        <v>640</v>
      </c>
      <c r="B865" s="27" t="s">
        <v>1185</v>
      </c>
      <c r="C865" s="27" t="s">
        <v>48</v>
      </c>
      <c r="D865" s="28">
        <v>0.06</v>
      </c>
      <c r="E865" s="29">
        <v>160.97999999999999</v>
      </c>
      <c r="F865" s="29">
        <v>35.020000000000003</v>
      </c>
      <c r="G865" s="30" t="s">
        <v>27</v>
      </c>
      <c r="H865" s="27" t="s">
        <v>40</v>
      </c>
      <c r="I865" s="27" t="s">
        <v>29</v>
      </c>
      <c r="J865" s="27" t="s">
        <v>117</v>
      </c>
      <c r="K865" s="27" t="s">
        <v>31</v>
      </c>
      <c r="L865" s="31" t="s">
        <v>1755</v>
      </c>
      <c r="M865" s="32">
        <v>0.72</v>
      </c>
      <c r="N865" s="27" t="s">
        <v>33</v>
      </c>
      <c r="O865" s="27" t="s">
        <v>60</v>
      </c>
      <c r="P865" s="27" t="s">
        <v>67</v>
      </c>
      <c r="Q865" s="27" t="s">
        <v>142</v>
      </c>
      <c r="R865" s="33">
        <v>98119</v>
      </c>
      <c r="S865" s="34">
        <v>42083</v>
      </c>
      <c r="T865" s="34">
        <v>42087</v>
      </c>
      <c r="U865" s="29">
        <v>-229.68</v>
      </c>
      <c r="V865" s="26">
        <v>30</v>
      </c>
      <c r="W865" s="29">
        <v>4620.05</v>
      </c>
      <c r="X865" s="26">
        <v>11077</v>
      </c>
      <c r="Y865" s="35">
        <v>6.4600000000000009</v>
      </c>
      <c r="Z865" s="1" t="s">
        <v>3013</v>
      </c>
      <c r="AA865" s="36">
        <v>289.76400000000001</v>
      </c>
      <c r="AB865" s="54">
        <v>1293.6140000000003</v>
      </c>
      <c r="AC865" s="54">
        <v>110.88119999999999</v>
      </c>
      <c r="AD865" s="36">
        <v>4524.9459999999999</v>
      </c>
    </row>
    <row r="866" spans="1:30" s="37" customFormat="1" ht="15.75" customHeight="1" x14ac:dyDescent="0.2">
      <c r="A866" s="26">
        <v>314</v>
      </c>
      <c r="B866" s="27" t="s">
        <v>1757</v>
      </c>
      <c r="C866" s="27" t="s">
        <v>116</v>
      </c>
      <c r="D866" s="28">
        <v>0.04</v>
      </c>
      <c r="E866" s="29">
        <v>1637.53</v>
      </c>
      <c r="F866" s="29">
        <v>24.49</v>
      </c>
      <c r="G866" s="30" t="s">
        <v>39</v>
      </c>
      <c r="H866" s="27" t="s">
        <v>94</v>
      </c>
      <c r="I866" s="27" t="s">
        <v>49</v>
      </c>
      <c r="J866" s="27" t="s">
        <v>568</v>
      </c>
      <c r="K866" s="27" t="s">
        <v>144</v>
      </c>
      <c r="L866" s="31" t="s">
        <v>1758</v>
      </c>
      <c r="M866" s="32">
        <v>0.81</v>
      </c>
      <c r="N866" s="27" t="s">
        <v>33</v>
      </c>
      <c r="O866" s="27" t="s">
        <v>53</v>
      </c>
      <c r="P866" s="27" t="s">
        <v>103</v>
      </c>
      <c r="Q866" s="27" t="s">
        <v>1759</v>
      </c>
      <c r="R866" s="33">
        <v>60130</v>
      </c>
      <c r="S866" s="34">
        <v>42083</v>
      </c>
      <c r="T866" s="34">
        <v>42085</v>
      </c>
      <c r="U866" s="29">
        <v>-1759.58</v>
      </c>
      <c r="V866" s="26">
        <v>2</v>
      </c>
      <c r="W866" s="29">
        <v>3206.94</v>
      </c>
      <c r="X866" s="26">
        <v>89166</v>
      </c>
      <c r="Y866" s="35">
        <v>125.94999999999999</v>
      </c>
      <c r="Z866" s="1" t="s">
        <v>3012</v>
      </c>
      <c r="AA866" s="36">
        <v>131.00239999999999</v>
      </c>
      <c r="AB866" s="54">
        <v>609.31859999999983</v>
      </c>
      <c r="AC866" s="54">
        <v>1298.8107</v>
      </c>
      <c r="AD866" s="36">
        <v>4811.0275999999994</v>
      </c>
    </row>
    <row r="867" spans="1:30" s="37" customFormat="1" ht="15.75" customHeight="1" x14ac:dyDescent="0.2">
      <c r="A867" s="26">
        <v>3105</v>
      </c>
      <c r="B867" s="27" t="s">
        <v>1750</v>
      </c>
      <c r="C867" s="27" t="s">
        <v>26</v>
      </c>
      <c r="D867" s="28">
        <v>0.04</v>
      </c>
      <c r="E867" s="29">
        <v>125.99</v>
      </c>
      <c r="F867" s="29">
        <v>4.2</v>
      </c>
      <c r="G867" s="30" t="s">
        <v>39</v>
      </c>
      <c r="H867" s="27" t="s">
        <v>71</v>
      </c>
      <c r="I867" s="27" t="s">
        <v>41</v>
      </c>
      <c r="J867" s="27" t="s">
        <v>135</v>
      </c>
      <c r="K867" s="27" t="s">
        <v>73</v>
      </c>
      <c r="L867" s="31" t="s">
        <v>1426</v>
      </c>
      <c r="M867" s="32">
        <v>0.59</v>
      </c>
      <c r="N867" s="27" t="s">
        <v>33</v>
      </c>
      <c r="O867" s="27" t="s">
        <v>34</v>
      </c>
      <c r="P867" s="27" t="s">
        <v>388</v>
      </c>
      <c r="Q867" s="27" t="s">
        <v>949</v>
      </c>
      <c r="R867" s="33">
        <v>42071</v>
      </c>
      <c r="S867" s="34">
        <v>42083</v>
      </c>
      <c r="T867" s="34">
        <v>42085</v>
      </c>
      <c r="U867" s="29">
        <v>-236.25</v>
      </c>
      <c r="V867" s="26">
        <v>12</v>
      </c>
      <c r="W867" s="29">
        <v>1270.7</v>
      </c>
      <c r="X867" s="26">
        <v>86327</v>
      </c>
      <c r="Y867" s="35">
        <v>3.04</v>
      </c>
      <c r="Z867" s="1" t="s">
        <v>3011</v>
      </c>
      <c r="AA867" s="36">
        <v>60.475200000000001</v>
      </c>
      <c r="AB867" s="54">
        <v>520.98700000000008</v>
      </c>
      <c r="AC867" s="54">
        <v>62.476083333333328</v>
      </c>
      <c r="AD867" s="36">
        <v>1442.2748000000001</v>
      </c>
    </row>
    <row r="868" spans="1:30" s="37" customFormat="1" ht="15.75" customHeight="1" x14ac:dyDescent="0.2">
      <c r="A868" s="26">
        <v>637</v>
      </c>
      <c r="B868" s="27" t="s">
        <v>1754</v>
      </c>
      <c r="C868" s="27" t="s">
        <v>48</v>
      </c>
      <c r="D868" s="28">
        <v>0.06</v>
      </c>
      <c r="E868" s="29">
        <v>160.97999999999999</v>
      </c>
      <c r="F868" s="29">
        <v>35.020000000000003</v>
      </c>
      <c r="G868" s="30" t="s">
        <v>27</v>
      </c>
      <c r="H868" s="27" t="s">
        <v>40</v>
      </c>
      <c r="I868" s="27" t="s">
        <v>29</v>
      </c>
      <c r="J868" s="27" t="s">
        <v>117</v>
      </c>
      <c r="K868" s="27" t="s">
        <v>31</v>
      </c>
      <c r="L868" s="31" t="s">
        <v>1755</v>
      </c>
      <c r="M868" s="32">
        <v>0.72</v>
      </c>
      <c r="N868" s="27" t="s">
        <v>33</v>
      </c>
      <c r="O868" s="27" t="s">
        <v>60</v>
      </c>
      <c r="P868" s="27" t="s">
        <v>90</v>
      </c>
      <c r="Q868" s="27" t="s">
        <v>1756</v>
      </c>
      <c r="R868" s="33">
        <v>95051</v>
      </c>
      <c r="S868" s="34">
        <v>42083</v>
      </c>
      <c r="T868" s="34">
        <v>42087</v>
      </c>
      <c r="U868" s="29">
        <v>-229.68</v>
      </c>
      <c r="V868" s="26">
        <v>8</v>
      </c>
      <c r="W868" s="29">
        <v>1232.01</v>
      </c>
      <c r="X868" s="26">
        <v>87953</v>
      </c>
      <c r="Y868" s="35">
        <v>6.4600000000000009</v>
      </c>
      <c r="Z868" s="1" t="s">
        <v>3013</v>
      </c>
      <c r="AA868" s="36">
        <v>77.270399999999995</v>
      </c>
      <c r="AB868" s="54">
        <v>344.96280000000002</v>
      </c>
      <c r="AC868" s="54">
        <v>110.8809</v>
      </c>
      <c r="AD868" s="36">
        <v>1349.3996</v>
      </c>
    </row>
    <row r="869" spans="1:30" s="37" customFormat="1" ht="15.75" customHeight="1" x14ac:dyDescent="0.2">
      <c r="A869" s="26">
        <v>3106</v>
      </c>
      <c r="B869" s="27" t="s">
        <v>1752</v>
      </c>
      <c r="C869" s="27" t="s">
        <v>26</v>
      </c>
      <c r="D869" s="28">
        <v>0.02</v>
      </c>
      <c r="E869" s="29">
        <v>6.48</v>
      </c>
      <c r="F869" s="29">
        <v>5.9</v>
      </c>
      <c r="G869" s="30" t="s">
        <v>39</v>
      </c>
      <c r="H869" s="27" t="s">
        <v>71</v>
      </c>
      <c r="I869" s="27" t="s">
        <v>49</v>
      </c>
      <c r="J869" s="27" t="s">
        <v>88</v>
      </c>
      <c r="K869" s="27" t="s">
        <v>73</v>
      </c>
      <c r="L869" s="31" t="s">
        <v>1751</v>
      </c>
      <c r="M869" s="32">
        <v>0.37</v>
      </c>
      <c r="N869" s="27" t="s">
        <v>33</v>
      </c>
      <c r="O869" s="27" t="s">
        <v>53</v>
      </c>
      <c r="P869" s="27" t="s">
        <v>187</v>
      </c>
      <c r="Q869" s="27" t="s">
        <v>1753</v>
      </c>
      <c r="R869" s="33">
        <v>77041</v>
      </c>
      <c r="S869" s="34">
        <v>42083</v>
      </c>
      <c r="T869" s="34">
        <v>42084</v>
      </c>
      <c r="U869" s="29">
        <v>-50.64</v>
      </c>
      <c r="V869" s="26">
        <v>53</v>
      </c>
      <c r="W869" s="29">
        <v>370.91</v>
      </c>
      <c r="X869" s="26">
        <v>548</v>
      </c>
      <c r="Y869" s="35">
        <v>125.94999999999999</v>
      </c>
      <c r="Z869" s="1" t="s">
        <v>3012</v>
      </c>
      <c r="AA869" s="36">
        <v>6.8688000000000011</v>
      </c>
      <c r="AB869" s="54">
        <v>233.67330000000001</v>
      </c>
      <c r="AC869" s="54">
        <v>2.5893716981132076</v>
      </c>
      <c r="AD869" s="36">
        <v>408.78120000000001</v>
      </c>
    </row>
    <row r="870" spans="1:30" s="37" customFormat="1" ht="15.75" customHeight="1" x14ac:dyDescent="0.2">
      <c r="A870" s="26">
        <v>1679</v>
      </c>
      <c r="B870" s="27" t="s">
        <v>1766</v>
      </c>
      <c r="C870" s="27" t="s">
        <v>116</v>
      </c>
      <c r="D870" s="28">
        <v>7.0000000000000007E-2</v>
      </c>
      <c r="E870" s="29">
        <v>13.73</v>
      </c>
      <c r="F870" s="29">
        <v>6.85</v>
      </c>
      <c r="G870" s="30" t="s">
        <v>39</v>
      </c>
      <c r="H870" s="27" t="s">
        <v>40</v>
      </c>
      <c r="I870" s="27" t="s">
        <v>29</v>
      </c>
      <c r="J870" s="27" t="s">
        <v>126</v>
      </c>
      <c r="K870" s="27" t="s">
        <v>51</v>
      </c>
      <c r="L870" s="31" t="s">
        <v>1767</v>
      </c>
      <c r="M870" s="32">
        <v>0.54</v>
      </c>
      <c r="N870" s="27" t="s">
        <v>33</v>
      </c>
      <c r="O870" s="27" t="s">
        <v>111</v>
      </c>
      <c r="P870" s="27" t="s">
        <v>317</v>
      </c>
      <c r="Q870" s="27" t="s">
        <v>1768</v>
      </c>
      <c r="R870" s="33">
        <v>45324</v>
      </c>
      <c r="S870" s="34">
        <v>42083</v>
      </c>
      <c r="T870" s="34">
        <v>42084</v>
      </c>
      <c r="U870" s="29">
        <v>-22.72</v>
      </c>
      <c r="V870" s="26">
        <v>21</v>
      </c>
      <c r="W870" s="29">
        <v>276.64</v>
      </c>
      <c r="X870" s="26">
        <v>86646</v>
      </c>
      <c r="Y870" s="35">
        <v>160.91999999999999</v>
      </c>
      <c r="Z870" s="1" t="s">
        <v>3014</v>
      </c>
      <c r="AA870" s="36">
        <v>20.183100000000003</v>
      </c>
      <c r="AB870" s="54">
        <v>127.25439999999999</v>
      </c>
      <c r="AC870" s="54">
        <v>7.1135999999999999</v>
      </c>
      <c r="AD870" s="36">
        <v>272.32689999999997</v>
      </c>
    </row>
    <row r="871" spans="1:30" s="37" customFormat="1" ht="15.75" customHeight="1" x14ac:dyDescent="0.2">
      <c r="A871" s="26">
        <v>3106</v>
      </c>
      <c r="B871" s="27" t="s">
        <v>1752</v>
      </c>
      <c r="C871" s="27" t="s">
        <v>26</v>
      </c>
      <c r="D871" s="28">
        <v>0.04</v>
      </c>
      <c r="E871" s="29">
        <v>3.08</v>
      </c>
      <c r="F871" s="29">
        <v>0.99</v>
      </c>
      <c r="G871" s="30" t="s">
        <v>39</v>
      </c>
      <c r="H871" s="27" t="s">
        <v>71</v>
      </c>
      <c r="I871" s="27" t="s">
        <v>49</v>
      </c>
      <c r="J871" s="27" t="s">
        <v>152</v>
      </c>
      <c r="K871" s="27" t="s">
        <v>73</v>
      </c>
      <c r="L871" s="31" t="s">
        <v>658</v>
      </c>
      <c r="M871" s="32">
        <v>0.37</v>
      </c>
      <c r="N871" s="27" t="s">
        <v>33</v>
      </c>
      <c r="O871" s="27" t="s">
        <v>53</v>
      </c>
      <c r="P871" s="27" t="s">
        <v>187</v>
      </c>
      <c r="Q871" s="27" t="s">
        <v>1753</v>
      </c>
      <c r="R871" s="33">
        <v>77041</v>
      </c>
      <c r="S871" s="34">
        <v>42083</v>
      </c>
      <c r="T871" s="34">
        <v>42084</v>
      </c>
      <c r="U871" s="29">
        <v>36.020000000000003</v>
      </c>
      <c r="V871" s="26">
        <v>75</v>
      </c>
      <c r="W871" s="29">
        <v>236.87</v>
      </c>
      <c r="X871" s="26">
        <v>548</v>
      </c>
      <c r="Y871" s="35">
        <v>160.91999999999999</v>
      </c>
      <c r="Z871" s="1" t="s">
        <v>3012</v>
      </c>
      <c r="AA871" s="36">
        <v>9.24</v>
      </c>
      <c r="AB871" s="54">
        <v>149.22810000000001</v>
      </c>
      <c r="AC871" s="54">
        <v>1.1685586666666665</v>
      </c>
      <c r="AD871" s="36">
        <v>190.62</v>
      </c>
    </row>
    <row r="872" spans="1:30" s="37" customFormat="1" ht="15.75" customHeight="1" x14ac:dyDescent="0.2">
      <c r="A872" s="26">
        <v>669</v>
      </c>
      <c r="B872" s="27" t="s">
        <v>1763</v>
      </c>
      <c r="C872" s="27" t="s">
        <v>116</v>
      </c>
      <c r="D872" s="28">
        <v>0.02</v>
      </c>
      <c r="E872" s="29">
        <v>48.91</v>
      </c>
      <c r="F872" s="29">
        <v>5.81</v>
      </c>
      <c r="G872" s="30" t="s">
        <v>39</v>
      </c>
      <c r="H872" s="27" t="s">
        <v>71</v>
      </c>
      <c r="I872" s="27" t="s">
        <v>49</v>
      </c>
      <c r="J872" s="27" t="s">
        <v>88</v>
      </c>
      <c r="K872" s="27" t="s">
        <v>73</v>
      </c>
      <c r="L872" s="31" t="s">
        <v>1765</v>
      </c>
      <c r="M872" s="32">
        <v>0.38</v>
      </c>
      <c r="N872" s="27" t="s">
        <v>33</v>
      </c>
      <c r="O872" s="27" t="s">
        <v>53</v>
      </c>
      <c r="P872" s="27" t="s">
        <v>213</v>
      </c>
      <c r="Q872" s="27" t="s">
        <v>1764</v>
      </c>
      <c r="R872" s="33">
        <v>52501</v>
      </c>
      <c r="S872" s="34">
        <v>42083</v>
      </c>
      <c r="T872" s="34">
        <v>42084</v>
      </c>
      <c r="U872" s="29">
        <v>32.86</v>
      </c>
      <c r="V872" s="26">
        <v>2</v>
      </c>
      <c r="W872" s="29">
        <v>101.06</v>
      </c>
      <c r="X872" s="26">
        <v>88475</v>
      </c>
      <c r="Y872" s="35">
        <v>1637.49</v>
      </c>
      <c r="Z872" s="1" t="s">
        <v>3012</v>
      </c>
      <c r="AA872" s="36">
        <v>1.9563999999999999</v>
      </c>
      <c r="AB872" s="54">
        <v>62.657200000000003</v>
      </c>
      <c r="AC872" s="54">
        <v>19.2014</v>
      </c>
      <c r="AD872" s="36">
        <v>60.433599999999998</v>
      </c>
    </row>
    <row r="873" spans="1:30" s="37" customFormat="1" ht="15.75" customHeight="1" x14ac:dyDescent="0.2">
      <c r="A873" s="26">
        <v>3361</v>
      </c>
      <c r="B873" s="27" t="s">
        <v>810</v>
      </c>
      <c r="C873" s="27" t="s">
        <v>3094</v>
      </c>
      <c r="D873" s="28">
        <v>0.06</v>
      </c>
      <c r="E873" s="29">
        <v>12.64</v>
      </c>
      <c r="F873" s="29">
        <v>4.9800000000000004</v>
      </c>
      <c r="G873" s="30" t="s">
        <v>39</v>
      </c>
      <c r="H873" s="27" t="s">
        <v>71</v>
      </c>
      <c r="I873" s="27" t="s">
        <v>29</v>
      </c>
      <c r="J873" s="27" t="s">
        <v>126</v>
      </c>
      <c r="K873" s="27" t="s">
        <v>43</v>
      </c>
      <c r="L873" s="31" t="s">
        <v>1773</v>
      </c>
      <c r="M873" s="32">
        <v>0.48</v>
      </c>
      <c r="N873" s="27" t="s">
        <v>33</v>
      </c>
      <c r="O873" s="27" t="s">
        <v>53</v>
      </c>
      <c r="P873" s="27" t="s">
        <v>357</v>
      </c>
      <c r="Q873" s="27" t="s">
        <v>812</v>
      </c>
      <c r="R873" s="33">
        <v>53095</v>
      </c>
      <c r="S873" s="34">
        <v>42083</v>
      </c>
      <c r="T873" s="34">
        <v>42085</v>
      </c>
      <c r="U873" s="29">
        <v>65.63</v>
      </c>
      <c r="V873" s="26">
        <v>8</v>
      </c>
      <c r="W873" s="29">
        <v>98.16</v>
      </c>
      <c r="X873" s="26">
        <v>91435</v>
      </c>
      <c r="Y873" s="35">
        <v>19.97</v>
      </c>
      <c r="Z873" s="1" t="s">
        <v>3012</v>
      </c>
      <c r="AA873" s="36">
        <v>6.0671999999999997</v>
      </c>
      <c r="AB873" s="54">
        <v>51.043199999999999</v>
      </c>
      <c r="AC873" s="54">
        <v>5.8895999999999997</v>
      </c>
      <c r="AD873" s="36">
        <v>21.482799999999997</v>
      </c>
    </row>
    <row r="874" spans="1:30" s="37" customFormat="1" ht="15.75" customHeight="1" x14ac:dyDescent="0.2">
      <c r="A874" s="26">
        <v>3105</v>
      </c>
      <c r="B874" s="27" t="s">
        <v>1750</v>
      </c>
      <c r="C874" s="27" t="s">
        <v>26</v>
      </c>
      <c r="D874" s="28">
        <v>0.02</v>
      </c>
      <c r="E874" s="29">
        <v>6.48</v>
      </c>
      <c r="F874" s="29">
        <v>5.9</v>
      </c>
      <c r="G874" s="30" t="s">
        <v>39</v>
      </c>
      <c r="H874" s="27" t="s">
        <v>71</v>
      </c>
      <c r="I874" s="27" t="s">
        <v>49</v>
      </c>
      <c r="J874" s="27" t="s">
        <v>88</v>
      </c>
      <c r="K874" s="27" t="s">
        <v>73</v>
      </c>
      <c r="L874" s="31" t="s">
        <v>1751</v>
      </c>
      <c r="M874" s="32">
        <v>0.37</v>
      </c>
      <c r="N874" s="27" t="s">
        <v>33</v>
      </c>
      <c r="O874" s="27" t="s">
        <v>34</v>
      </c>
      <c r="P874" s="27" t="s">
        <v>388</v>
      </c>
      <c r="Q874" s="27" t="s">
        <v>949</v>
      </c>
      <c r="R874" s="33">
        <v>42071</v>
      </c>
      <c r="S874" s="34">
        <v>42083</v>
      </c>
      <c r="T874" s="34">
        <v>42084</v>
      </c>
      <c r="U874" s="29">
        <v>4.3920000000000003</v>
      </c>
      <c r="V874" s="26">
        <v>13</v>
      </c>
      <c r="W874" s="29">
        <v>90.98</v>
      </c>
      <c r="X874" s="26">
        <v>86327</v>
      </c>
      <c r="Y874" s="35">
        <v>2.8000000000000003</v>
      </c>
      <c r="Z874" s="1" t="s">
        <v>3011</v>
      </c>
      <c r="AA874" s="36">
        <v>1.6848000000000003</v>
      </c>
      <c r="AB874" s="54">
        <v>57.317400000000006</v>
      </c>
      <c r="AC874" s="54">
        <v>2.5894307692307694</v>
      </c>
      <c r="AD874" s="36">
        <v>79.003200000000007</v>
      </c>
    </row>
    <row r="875" spans="1:30" s="37" customFormat="1" ht="15.75" customHeight="1" x14ac:dyDescent="0.2">
      <c r="A875" s="26">
        <v>3105</v>
      </c>
      <c r="B875" s="27" t="s">
        <v>1750</v>
      </c>
      <c r="C875" s="27" t="s">
        <v>26</v>
      </c>
      <c r="D875" s="28">
        <v>0.04</v>
      </c>
      <c r="E875" s="29">
        <v>3.08</v>
      </c>
      <c r="F875" s="29">
        <v>0.99</v>
      </c>
      <c r="G875" s="30" t="s">
        <v>39</v>
      </c>
      <c r="H875" s="27" t="s">
        <v>71</v>
      </c>
      <c r="I875" s="27" t="s">
        <v>49</v>
      </c>
      <c r="J875" s="27" t="s">
        <v>152</v>
      </c>
      <c r="K875" s="27" t="s">
        <v>73</v>
      </c>
      <c r="L875" s="31" t="s">
        <v>658</v>
      </c>
      <c r="M875" s="32">
        <v>0.37</v>
      </c>
      <c r="N875" s="27" t="s">
        <v>33</v>
      </c>
      <c r="O875" s="27" t="s">
        <v>34</v>
      </c>
      <c r="P875" s="27" t="s">
        <v>388</v>
      </c>
      <c r="Q875" s="27" t="s">
        <v>949</v>
      </c>
      <c r="R875" s="33">
        <v>42071</v>
      </c>
      <c r="S875" s="34">
        <v>42083</v>
      </c>
      <c r="T875" s="34">
        <v>42084</v>
      </c>
      <c r="U875" s="29">
        <v>13.8</v>
      </c>
      <c r="V875" s="26">
        <v>19</v>
      </c>
      <c r="W875" s="29">
        <v>60.01</v>
      </c>
      <c r="X875" s="26">
        <v>86327</v>
      </c>
      <c r="Y875" s="35">
        <v>48.889999999999993</v>
      </c>
      <c r="Z875" s="1" t="s">
        <v>3011</v>
      </c>
      <c r="AA875" s="36">
        <v>2.3408000000000002</v>
      </c>
      <c r="AB875" s="54">
        <v>37.8063</v>
      </c>
      <c r="AC875" s="54">
        <v>1.1686157894736842</v>
      </c>
      <c r="AD875" s="36">
        <v>42.879199999999997</v>
      </c>
    </row>
    <row r="876" spans="1:30" s="37" customFormat="1" ht="15.75" customHeight="1" x14ac:dyDescent="0.2">
      <c r="A876" s="26">
        <v>669</v>
      </c>
      <c r="B876" s="27" t="s">
        <v>1763</v>
      </c>
      <c r="C876" s="27" t="s">
        <v>116</v>
      </c>
      <c r="D876" s="28">
        <v>0.09</v>
      </c>
      <c r="E876" s="29">
        <v>2.89</v>
      </c>
      <c r="F876" s="29">
        <v>0.5</v>
      </c>
      <c r="G876" s="30" t="s">
        <v>39</v>
      </c>
      <c r="H876" s="27" t="s">
        <v>71</v>
      </c>
      <c r="I876" s="27" t="s">
        <v>49</v>
      </c>
      <c r="J876" s="27" t="s">
        <v>152</v>
      </c>
      <c r="K876" s="27" t="s">
        <v>73</v>
      </c>
      <c r="L876" s="31" t="s">
        <v>729</v>
      </c>
      <c r="M876" s="32">
        <v>0.38</v>
      </c>
      <c r="N876" s="27" t="s">
        <v>33</v>
      </c>
      <c r="O876" s="27" t="s">
        <v>53</v>
      </c>
      <c r="P876" s="27" t="s">
        <v>213</v>
      </c>
      <c r="Q876" s="27" t="s">
        <v>1764</v>
      </c>
      <c r="R876" s="33">
        <v>52501</v>
      </c>
      <c r="S876" s="34">
        <v>42083</v>
      </c>
      <c r="T876" s="34">
        <v>42085</v>
      </c>
      <c r="U876" s="29">
        <v>40.482300000000002</v>
      </c>
      <c r="V876" s="26">
        <v>22</v>
      </c>
      <c r="W876" s="29">
        <v>58.67</v>
      </c>
      <c r="X876" s="26">
        <v>88475</v>
      </c>
      <c r="Y876" s="35">
        <v>13.66</v>
      </c>
      <c r="Z876" s="1" t="s">
        <v>3012</v>
      </c>
      <c r="AA876" s="36">
        <v>5.7222</v>
      </c>
      <c r="AB876" s="54">
        <v>36.375399999999999</v>
      </c>
      <c r="AC876" s="54">
        <v>1.0133909090909092</v>
      </c>
      <c r="AD876" s="36">
        <v>11.965499999999999</v>
      </c>
    </row>
    <row r="877" spans="1:30" s="37" customFormat="1" ht="15.75" customHeight="1" x14ac:dyDescent="0.2">
      <c r="A877" s="26">
        <v>315</v>
      </c>
      <c r="B877" s="27" t="s">
        <v>1760</v>
      </c>
      <c r="C877" s="27" t="s">
        <v>116</v>
      </c>
      <c r="D877" s="28">
        <v>0.01</v>
      </c>
      <c r="E877" s="29">
        <v>19.98</v>
      </c>
      <c r="F877" s="29">
        <v>4</v>
      </c>
      <c r="G877" s="30" t="s">
        <v>39</v>
      </c>
      <c r="H877" s="27" t="s">
        <v>94</v>
      </c>
      <c r="I877" s="27" t="s">
        <v>41</v>
      </c>
      <c r="J877" s="27" t="s">
        <v>42</v>
      </c>
      <c r="K877" s="27" t="s">
        <v>73</v>
      </c>
      <c r="L877" s="31" t="s">
        <v>1761</v>
      </c>
      <c r="M877" s="32">
        <v>0.68</v>
      </c>
      <c r="N877" s="27" t="s">
        <v>33</v>
      </c>
      <c r="O877" s="27" t="s">
        <v>111</v>
      </c>
      <c r="P877" s="27" t="s">
        <v>403</v>
      </c>
      <c r="Q877" s="27" t="s">
        <v>1762</v>
      </c>
      <c r="R877" s="33">
        <v>1007</v>
      </c>
      <c r="S877" s="34">
        <v>42083</v>
      </c>
      <c r="T877" s="34">
        <v>42083</v>
      </c>
      <c r="U877" s="29">
        <v>-72.23</v>
      </c>
      <c r="V877" s="26">
        <v>2</v>
      </c>
      <c r="W877" s="29">
        <v>43.08</v>
      </c>
      <c r="X877" s="26">
        <v>89166</v>
      </c>
      <c r="Y877" s="35">
        <v>2.5499999999999998</v>
      </c>
      <c r="Z877" s="1" t="s">
        <v>3014</v>
      </c>
      <c r="AA877" s="36">
        <v>0.39960000000000001</v>
      </c>
      <c r="AB877" s="54">
        <v>13.785599999999997</v>
      </c>
      <c r="AC877" s="54">
        <v>14.6472</v>
      </c>
      <c r="AD877" s="36">
        <v>110.9104</v>
      </c>
    </row>
    <row r="878" spans="1:30" s="37" customFormat="1" ht="15.75" customHeight="1" x14ac:dyDescent="0.2">
      <c r="A878" s="26">
        <v>3360</v>
      </c>
      <c r="B878" s="27" t="s">
        <v>1771</v>
      </c>
      <c r="C878" s="27" t="s">
        <v>3094</v>
      </c>
      <c r="D878" s="28">
        <v>0.02</v>
      </c>
      <c r="E878" s="29">
        <v>9.11</v>
      </c>
      <c r="F878" s="29">
        <v>2.15</v>
      </c>
      <c r="G878" s="30" t="s">
        <v>39</v>
      </c>
      <c r="H878" s="27" t="s">
        <v>71</v>
      </c>
      <c r="I878" s="27" t="s">
        <v>49</v>
      </c>
      <c r="J878" s="27" t="s">
        <v>88</v>
      </c>
      <c r="K878" s="27" t="s">
        <v>51</v>
      </c>
      <c r="L878" s="31" t="s">
        <v>89</v>
      </c>
      <c r="M878" s="32">
        <v>0.4</v>
      </c>
      <c r="N878" s="27" t="s">
        <v>33</v>
      </c>
      <c r="O878" s="27" t="s">
        <v>53</v>
      </c>
      <c r="P878" s="27" t="s">
        <v>357</v>
      </c>
      <c r="Q878" s="27" t="s">
        <v>1772</v>
      </c>
      <c r="R878" s="33">
        <v>53214</v>
      </c>
      <c r="S878" s="34">
        <v>42083</v>
      </c>
      <c r="T878" s="34">
        <v>42085</v>
      </c>
      <c r="U878" s="29">
        <v>18.41</v>
      </c>
      <c r="V878" s="26">
        <v>3</v>
      </c>
      <c r="W878" s="29">
        <v>27.37</v>
      </c>
      <c r="X878" s="26">
        <v>91435</v>
      </c>
      <c r="Y878" s="35">
        <v>9.09</v>
      </c>
      <c r="Z878" s="1" t="s">
        <v>3012</v>
      </c>
      <c r="AA878" s="36">
        <v>0.54659999999999997</v>
      </c>
      <c r="AB878" s="54">
        <v>16.422000000000001</v>
      </c>
      <c r="AC878" s="54">
        <v>3.6493333333333333</v>
      </c>
      <c r="AD878" s="36">
        <v>6.2634000000000007</v>
      </c>
    </row>
    <row r="879" spans="1:30" s="37" customFormat="1" ht="15.75" customHeight="1" x14ac:dyDescent="0.2">
      <c r="A879" s="26">
        <v>2794</v>
      </c>
      <c r="B879" s="27" t="s">
        <v>1769</v>
      </c>
      <c r="C879" s="27" t="s">
        <v>116</v>
      </c>
      <c r="D879" s="28">
        <v>0.06</v>
      </c>
      <c r="E879" s="29">
        <v>2.61</v>
      </c>
      <c r="F879" s="29">
        <v>0.5</v>
      </c>
      <c r="G879" s="30" t="s">
        <v>39</v>
      </c>
      <c r="H879" s="27" t="s">
        <v>94</v>
      </c>
      <c r="I879" s="27" t="s">
        <v>49</v>
      </c>
      <c r="J879" s="27" t="s">
        <v>152</v>
      </c>
      <c r="K879" s="27" t="s">
        <v>73</v>
      </c>
      <c r="L879" s="31" t="s">
        <v>1569</v>
      </c>
      <c r="M879" s="32">
        <v>0.39</v>
      </c>
      <c r="N879" s="27" t="s">
        <v>33</v>
      </c>
      <c r="O879" s="27" t="s">
        <v>53</v>
      </c>
      <c r="P879" s="27" t="s">
        <v>213</v>
      </c>
      <c r="Q879" s="27" t="s">
        <v>1770</v>
      </c>
      <c r="R879" s="33">
        <v>50158</v>
      </c>
      <c r="S879" s="34">
        <v>42083</v>
      </c>
      <c r="T879" s="34">
        <v>42085</v>
      </c>
      <c r="U879" s="29">
        <v>3.5949</v>
      </c>
      <c r="V879" s="26">
        <v>2</v>
      </c>
      <c r="W879" s="29">
        <v>5.21</v>
      </c>
      <c r="X879" s="26">
        <v>87554</v>
      </c>
      <c r="Y879" s="35">
        <v>12.58</v>
      </c>
      <c r="Z879" s="1" t="s">
        <v>3012</v>
      </c>
      <c r="AA879" s="36">
        <v>0.31319999999999998</v>
      </c>
      <c r="AB879" s="54">
        <v>3.1780999999999997</v>
      </c>
      <c r="AC879" s="54">
        <v>1.0159500000000001</v>
      </c>
      <c r="AD879" s="36">
        <v>0.80189999999999984</v>
      </c>
    </row>
    <row r="880" spans="1:30" s="37" customFormat="1" ht="15.75" customHeight="1" x14ac:dyDescent="0.2">
      <c r="A880" s="26">
        <v>1185</v>
      </c>
      <c r="B880" s="27" t="s">
        <v>1782</v>
      </c>
      <c r="C880" s="27" t="s">
        <v>116</v>
      </c>
      <c r="D880" s="28">
        <v>0</v>
      </c>
      <c r="E880" s="29">
        <v>6783.02</v>
      </c>
      <c r="F880" s="29">
        <v>24.49</v>
      </c>
      <c r="G880" s="30" t="s">
        <v>39</v>
      </c>
      <c r="H880" s="27" t="s">
        <v>40</v>
      </c>
      <c r="I880" s="27" t="s">
        <v>41</v>
      </c>
      <c r="J880" s="27" t="s">
        <v>57</v>
      </c>
      <c r="K880" s="27" t="s">
        <v>65</v>
      </c>
      <c r="L880" s="31" t="s">
        <v>314</v>
      </c>
      <c r="M880" s="32">
        <v>0.39</v>
      </c>
      <c r="N880" s="27" t="s">
        <v>33</v>
      </c>
      <c r="O880" s="27" t="s">
        <v>34</v>
      </c>
      <c r="P880" s="27" t="s">
        <v>164</v>
      </c>
      <c r="Q880" s="27" t="s">
        <v>358</v>
      </c>
      <c r="R880" s="33">
        <v>35756</v>
      </c>
      <c r="S880" s="34">
        <v>42084</v>
      </c>
      <c r="T880" s="34">
        <v>42085</v>
      </c>
      <c r="U880" s="29">
        <v>4.1100000000000003</v>
      </c>
      <c r="V880" s="26">
        <v>3</v>
      </c>
      <c r="W880" s="29">
        <v>20552.55</v>
      </c>
      <c r="X880" s="26">
        <v>85938</v>
      </c>
      <c r="Y880" s="35">
        <v>6.3900000000000006</v>
      </c>
      <c r="Z880" s="1" t="s">
        <v>3011</v>
      </c>
      <c r="AA880" s="36">
        <v>0</v>
      </c>
      <c r="AB880" s="54">
        <v>12537.055499999999</v>
      </c>
      <c r="AC880" s="54">
        <v>2671.8314999999998</v>
      </c>
      <c r="AD880" s="36">
        <v>20523.95</v>
      </c>
    </row>
    <row r="881" spans="1:30" s="37" customFormat="1" ht="15.75" customHeight="1" x14ac:dyDescent="0.2">
      <c r="A881" s="26">
        <v>1471</v>
      </c>
      <c r="B881" s="27" t="s">
        <v>1777</v>
      </c>
      <c r="C881" s="27" t="s">
        <v>38</v>
      </c>
      <c r="D881" s="28">
        <v>0.03</v>
      </c>
      <c r="E881" s="29">
        <v>420.98</v>
      </c>
      <c r="F881" s="29">
        <v>19.989999999999998</v>
      </c>
      <c r="G881" s="30" t="s">
        <v>39</v>
      </c>
      <c r="H881" s="27" t="s">
        <v>71</v>
      </c>
      <c r="I881" s="27" t="s">
        <v>49</v>
      </c>
      <c r="J881" s="27" t="s">
        <v>72</v>
      </c>
      <c r="K881" s="27" t="s">
        <v>73</v>
      </c>
      <c r="L881" s="31" t="s">
        <v>867</v>
      </c>
      <c r="M881" s="32">
        <v>0.35</v>
      </c>
      <c r="N881" s="27" t="s">
        <v>33</v>
      </c>
      <c r="O881" s="27" t="s">
        <v>111</v>
      </c>
      <c r="P881" s="27" t="s">
        <v>317</v>
      </c>
      <c r="Q881" s="27" t="s">
        <v>1138</v>
      </c>
      <c r="R881" s="33">
        <v>43081</v>
      </c>
      <c r="S881" s="34">
        <v>42084</v>
      </c>
      <c r="T881" s="34">
        <v>42085</v>
      </c>
      <c r="U881" s="29">
        <v>3043.0311000000002</v>
      </c>
      <c r="V881" s="26">
        <v>10</v>
      </c>
      <c r="W881" s="29">
        <v>4410.1899999999996</v>
      </c>
      <c r="X881" s="26">
        <v>87077</v>
      </c>
      <c r="Y881" s="35">
        <v>420.95000000000005</v>
      </c>
      <c r="Z881" s="1" t="s">
        <v>3014</v>
      </c>
      <c r="AA881" s="36">
        <v>126.29400000000001</v>
      </c>
      <c r="AB881" s="54">
        <v>2866.6234999999997</v>
      </c>
      <c r="AC881" s="54">
        <v>154.35664999999997</v>
      </c>
      <c r="AD881" s="36">
        <v>1220.8748999999998</v>
      </c>
    </row>
    <row r="882" spans="1:30" s="37" customFormat="1" ht="15.75" customHeight="1" x14ac:dyDescent="0.2">
      <c r="A882" s="26">
        <v>3258</v>
      </c>
      <c r="B882" s="27" t="s">
        <v>1783</v>
      </c>
      <c r="C882" s="27" t="s">
        <v>3094</v>
      </c>
      <c r="D882" s="28">
        <v>0.02</v>
      </c>
      <c r="E882" s="29">
        <v>55.94</v>
      </c>
      <c r="F882" s="29">
        <v>6.55</v>
      </c>
      <c r="G882" s="30" t="s">
        <v>39</v>
      </c>
      <c r="H882" s="27" t="s">
        <v>40</v>
      </c>
      <c r="I882" s="27" t="s">
        <v>41</v>
      </c>
      <c r="J882" s="27" t="s">
        <v>42</v>
      </c>
      <c r="K882" s="27" t="s">
        <v>73</v>
      </c>
      <c r="L882" s="31" t="s">
        <v>1784</v>
      </c>
      <c r="M882" s="32">
        <v>0.68</v>
      </c>
      <c r="N882" s="27" t="s">
        <v>33</v>
      </c>
      <c r="O882" s="27" t="s">
        <v>60</v>
      </c>
      <c r="P882" s="27" t="s">
        <v>67</v>
      </c>
      <c r="Q882" s="27" t="s">
        <v>1785</v>
      </c>
      <c r="R882" s="33">
        <v>98037</v>
      </c>
      <c r="S882" s="34">
        <v>42084</v>
      </c>
      <c r="T882" s="34">
        <v>42086</v>
      </c>
      <c r="U882" s="29">
        <v>401.85</v>
      </c>
      <c r="V882" s="26">
        <v>11</v>
      </c>
      <c r="W882" s="29">
        <v>646.88</v>
      </c>
      <c r="X882" s="26">
        <v>88824</v>
      </c>
      <c r="Y882" s="35">
        <v>5.69</v>
      </c>
      <c r="Z882" s="1" t="s">
        <v>3013</v>
      </c>
      <c r="AA882" s="36">
        <v>12.306800000000001</v>
      </c>
      <c r="AB882" s="54">
        <v>207.00159999999997</v>
      </c>
      <c r="AC882" s="54">
        <v>39.988945454545458</v>
      </c>
      <c r="AD882" s="36">
        <v>226.17319999999995</v>
      </c>
    </row>
    <row r="883" spans="1:30" s="37" customFormat="1" ht="15.75" customHeight="1" x14ac:dyDescent="0.2">
      <c r="A883" s="26">
        <v>3275</v>
      </c>
      <c r="B883" s="27" t="s">
        <v>63</v>
      </c>
      <c r="C883" s="27" t="s">
        <v>48</v>
      </c>
      <c r="D883" s="28">
        <v>0.02</v>
      </c>
      <c r="E883" s="29">
        <v>13.48</v>
      </c>
      <c r="F883" s="29">
        <v>4.51</v>
      </c>
      <c r="G883" s="30" t="s">
        <v>39</v>
      </c>
      <c r="H883" s="27" t="s">
        <v>71</v>
      </c>
      <c r="I883" s="27" t="s">
        <v>49</v>
      </c>
      <c r="J883" s="27" t="s">
        <v>78</v>
      </c>
      <c r="K883" s="27" t="s">
        <v>73</v>
      </c>
      <c r="L883" s="31" t="s">
        <v>1781</v>
      </c>
      <c r="M883" s="32">
        <v>0.59</v>
      </c>
      <c r="N883" s="27" t="s">
        <v>33</v>
      </c>
      <c r="O883" s="27" t="s">
        <v>60</v>
      </c>
      <c r="P883" s="27" t="s">
        <v>67</v>
      </c>
      <c r="Q883" s="27" t="s">
        <v>68</v>
      </c>
      <c r="R883" s="33">
        <v>98273</v>
      </c>
      <c r="S883" s="34">
        <v>42084</v>
      </c>
      <c r="T883" s="34">
        <v>42086</v>
      </c>
      <c r="U883" s="29">
        <v>34.520000000000003</v>
      </c>
      <c r="V883" s="26">
        <v>9</v>
      </c>
      <c r="W883" s="29">
        <v>127.12</v>
      </c>
      <c r="X883" s="26">
        <v>86233</v>
      </c>
      <c r="Y883" s="35">
        <v>13.46</v>
      </c>
      <c r="Z883" s="1" t="s">
        <v>3013</v>
      </c>
      <c r="AA883" s="36">
        <v>2.4264000000000001</v>
      </c>
      <c r="AB883" s="54">
        <v>52.119200000000006</v>
      </c>
      <c r="AC883" s="54">
        <v>8.3334222222222216</v>
      </c>
      <c r="AD883" s="36">
        <v>85.663600000000002</v>
      </c>
    </row>
    <row r="884" spans="1:30" s="37" customFormat="1" ht="15.75" customHeight="1" x14ac:dyDescent="0.2">
      <c r="A884" s="26">
        <v>691</v>
      </c>
      <c r="B884" s="27" t="s">
        <v>1774</v>
      </c>
      <c r="C884" s="27" t="s">
        <v>38</v>
      </c>
      <c r="D884" s="28">
        <v>0.09</v>
      </c>
      <c r="E884" s="29">
        <v>6.48</v>
      </c>
      <c r="F884" s="29">
        <v>6.35</v>
      </c>
      <c r="G884" s="30" t="s">
        <v>39</v>
      </c>
      <c r="H884" s="27" t="s">
        <v>71</v>
      </c>
      <c r="I884" s="27" t="s">
        <v>49</v>
      </c>
      <c r="J884" s="27" t="s">
        <v>88</v>
      </c>
      <c r="K884" s="27" t="s">
        <v>73</v>
      </c>
      <c r="L884" s="31" t="s">
        <v>1775</v>
      </c>
      <c r="M884" s="32">
        <v>0.37</v>
      </c>
      <c r="N884" s="27" t="s">
        <v>33</v>
      </c>
      <c r="O884" s="27" t="s">
        <v>60</v>
      </c>
      <c r="P884" s="27" t="s">
        <v>67</v>
      </c>
      <c r="Q884" s="27" t="s">
        <v>1776</v>
      </c>
      <c r="R884" s="33">
        <v>98408</v>
      </c>
      <c r="S884" s="34">
        <v>42084</v>
      </c>
      <c r="T884" s="34">
        <v>42085</v>
      </c>
      <c r="U884" s="29">
        <v>-88.6</v>
      </c>
      <c r="V884" s="26">
        <v>8</v>
      </c>
      <c r="W884" s="29">
        <v>49.81</v>
      </c>
      <c r="X884" s="26">
        <v>89915</v>
      </c>
      <c r="Y884" s="35">
        <v>2.79</v>
      </c>
      <c r="Z884" s="1" t="s">
        <v>3013</v>
      </c>
      <c r="AA884" s="36">
        <v>4.6656000000000004</v>
      </c>
      <c r="AB884" s="54">
        <v>31.380300000000002</v>
      </c>
      <c r="AC884" s="54">
        <v>2.3037125000000001</v>
      </c>
      <c r="AD884" s="36">
        <v>127.3944</v>
      </c>
    </row>
    <row r="885" spans="1:30" s="37" customFormat="1" ht="15.75" customHeight="1" x14ac:dyDescent="0.2">
      <c r="A885" s="26">
        <v>2601</v>
      </c>
      <c r="B885" s="27" t="s">
        <v>1778</v>
      </c>
      <c r="C885" s="27" t="s">
        <v>48</v>
      </c>
      <c r="D885" s="28">
        <v>0.05</v>
      </c>
      <c r="E885" s="29">
        <v>5.74</v>
      </c>
      <c r="F885" s="29">
        <v>5.3</v>
      </c>
      <c r="G885" s="30" t="s">
        <v>39</v>
      </c>
      <c r="H885" s="27" t="s">
        <v>94</v>
      </c>
      <c r="I885" s="27" t="s">
        <v>49</v>
      </c>
      <c r="J885" s="27" t="s">
        <v>568</v>
      </c>
      <c r="K885" s="27" t="s">
        <v>43</v>
      </c>
      <c r="L885" s="31" t="s">
        <v>1779</v>
      </c>
      <c r="M885" s="32">
        <v>0.55000000000000004</v>
      </c>
      <c r="N885" s="27" t="s">
        <v>33</v>
      </c>
      <c r="O885" s="27" t="s">
        <v>111</v>
      </c>
      <c r="P885" s="27" t="s">
        <v>1356</v>
      </c>
      <c r="Q885" s="27" t="s">
        <v>1780</v>
      </c>
      <c r="R885" s="33">
        <v>3054</v>
      </c>
      <c r="S885" s="34">
        <v>42084</v>
      </c>
      <c r="T885" s="34">
        <v>42089</v>
      </c>
      <c r="U885" s="29">
        <v>-50.75</v>
      </c>
      <c r="V885" s="26">
        <v>7</v>
      </c>
      <c r="W885" s="29">
        <v>42.02</v>
      </c>
      <c r="X885" s="26">
        <v>87382</v>
      </c>
      <c r="Y885" s="35">
        <v>6783.02</v>
      </c>
      <c r="Z885" s="1" t="s">
        <v>3014</v>
      </c>
      <c r="AA885" s="36">
        <v>2.0090000000000003</v>
      </c>
      <c r="AB885" s="54">
        <v>18.908999999999999</v>
      </c>
      <c r="AC885" s="54">
        <v>3.301571428571429</v>
      </c>
      <c r="AD885" s="36">
        <v>85.461000000000013</v>
      </c>
    </row>
    <row r="886" spans="1:30" s="37" customFormat="1" ht="15.75" customHeight="1" x14ac:dyDescent="0.2">
      <c r="A886" s="26">
        <v>247</v>
      </c>
      <c r="B886" s="27" t="s">
        <v>1335</v>
      </c>
      <c r="C886" s="27" t="s">
        <v>116</v>
      </c>
      <c r="D886" s="28">
        <v>0.09</v>
      </c>
      <c r="E886" s="29">
        <v>2.88</v>
      </c>
      <c r="F886" s="29">
        <v>0.99</v>
      </c>
      <c r="G886" s="30" t="s">
        <v>39</v>
      </c>
      <c r="H886" s="27" t="s">
        <v>94</v>
      </c>
      <c r="I886" s="27" t="s">
        <v>49</v>
      </c>
      <c r="J886" s="27" t="s">
        <v>152</v>
      </c>
      <c r="K886" s="27" t="s">
        <v>73</v>
      </c>
      <c r="L886" s="31" t="s">
        <v>222</v>
      </c>
      <c r="M886" s="32">
        <v>0.36</v>
      </c>
      <c r="N886" s="27" t="s">
        <v>33</v>
      </c>
      <c r="O886" s="27" t="s">
        <v>34</v>
      </c>
      <c r="P886" s="27" t="s">
        <v>400</v>
      </c>
      <c r="Q886" s="27" t="s">
        <v>1336</v>
      </c>
      <c r="R886" s="33">
        <v>37804</v>
      </c>
      <c r="S886" s="34">
        <v>42084</v>
      </c>
      <c r="T886" s="34">
        <v>42086</v>
      </c>
      <c r="U886" s="29">
        <v>-145.08199999999999</v>
      </c>
      <c r="V886" s="26">
        <v>10</v>
      </c>
      <c r="W886" s="29">
        <v>28.73</v>
      </c>
      <c r="X886" s="26">
        <v>89140</v>
      </c>
      <c r="Y886" s="35">
        <v>55.919999999999995</v>
      </c>
      <c r="Z886" s="1" t="s">
        <v>3011</v>
      </c>
      <c r="AA886" s="36">
        <v>2.5919999999999996</v>
      </c>
      <c r="AB886" s="54">
        <v>18.3872</v>
      </c>
      <c r="AC886" s="54">
        <v>1.0342800000000001</v>
      </c>
      <c r="AD886" s="36">
        <v>170.22999999999996</v>
      </c>
    </row>
    <row r="887" spans="1:30" s="37" customFormat="1" ht="15.75" customHeight="1" x14ac:dyDescent="0.2">
      <c r="A887" s="26">
        <v>87</v>
      </c>
      <c r="B887" s="27" t="s">
        <v>1786</v>
      </c>
      <c r="C887" s="27" t="s">
        <v>38</v>
      </c>
      <c r="D887" s="28">
        <v>0.01</v>
      </c>
      <c r="E887" s="29">
        <v>296.18</v>
      </c>
      <c r="F887" s="29">
        <v>54.12</v>
      </c>
      <c r="G887" s="30" t="s">
        <v>27</v>
      </c>
      <c r="H887" s="27" t="s">
        <v>94</v>
      </c>
      <c r="I887" s="27" t="s">
        <v>29</v>
      </c>
      <c r="J887" s="27" t="s">
        <v>30</v>
      </c>
      <c r="K887" s="27" t="s">
        <v>31</v>
      </c>
      <c r="L887" s="31" t="s">
        <v>1079</v>
      </c>
      <c r="M887" s="32">
        <v>0.76</v>
      </c>
      <c r="N887" s="27" t="s">
        <v>33</v>
      </c>
      <c r="O887" s="27" t="s">
        <v>60</v>
      </c>
      <c r="P887" s="27" t="s">
        <v>90</v>
      </c>
      <c r="Q887" s="27" t="s">
        <v>1787</v>
      </c>
      <c r="R887" s="33">
        <v>95687</v>
      </c>
      <c r="S887" s="34">
        <v>42085</v>
      </c>
      <c r="T887" s="34">
        <v>42088</v>
      </c>
      <c r="U887" s="29">
        <v>173.48</v>
      </c>
      <c r="V887" s="26">
        <v>9</v>
      </c>
      <c r="W887" s="29">
        <v>2875.72</v>
      </c>
      <c r="X887" s="26">
        <v>90597</v>
      </c>
      <c r="Y887" s="35">
        <v>4.82</v>
      </c>
      <c r="Z887" s="1" t="s">
        <v>3013</v>
      </c>
      <c r="AA887" s="36">
        <v>26.656200000000002</v>
      </c>
      <c r="AB887" s="54">
        <v>690.17279999999994</v>
      </c>
      <c r="AC887" s="54">
        <v>242.83857777777777</v>
      </c>
      <c r="AD887" s="36">
        <v>2621.4638</v>
      </c>
    </row>
    <row r="888" spans="1:30" s="37" customFormat="1" ht="15.75" customHeight="1" x14ac:dyDescent="0.2">
      <c r="A888" s="26">
        <v>2561</v>
      </c>
      <c r="B888" s="27" t="s">
        <v>1798</v>
      </c>
      <c r="C888" s="27" t="s">
        <v>3094</v>
      </c>
      <c r="D888" s="28">
        <v>0.03</v>
      </c>
      <c r="E888" s="29">
        <v>160.97999999999999</v>
      </c>
      <c r="F888" s="29">
        <v>30</v>
      </c>
      <c r="G888" s="30" t="s">
        <v>27</v>
      </c>
      <c r="H888" s="27" t="s">
        <v>40</v>
      </c>
      <c r="I888" s="27" t="s">
        <v>29</v>
      </c>
      <c r="J888" s="27" t="s">
        <v>109</v>
      </c>
      <c r="K888" s="27" t="s">
        <v>58</v>
      </c>
      <c r="L888" s="31" t="s">
        <v>892</v>
      </c>
      <c r="M888" s="32">
        <v>0.62</v>
      </c>
      <c r="N888" s="27" t="s">
        <v>33</v>
      </c>
      <c r="O888" s="27" t="s">
        <v>111</v>
      </c>
      <c r="P888" s="27" t="s">
        <v>112</v>
      </c>
      <c r="Q888" s="27" t="s">
        <v>1799</v>
      </c>
      <c r="R888" s="33">
        <v>10562</v>
      </c>
      <c r="S888" s="34">
        <v>42085</v>
      </c>
      <c r="T888" s="34">
        <v>42088</v>
      </c>
      <c r="U888" s="29">
        <v>1261.4718</v>
      </c>
      <c r="V888" s="26">
        <v>11</v>
      </c>
      <c r="W888" s="29">
        <v>1828.22</v>
      </c>
      <c r="X888" s="26">
        <v>86465</v>
      </c>
      <c r="Y888" s="35">
        <v>296.17</v>
      </c>
      <c r="Z888" s="1" t="s">
        <v>3014</v>
      </c>
      <c r="AA888" s="36">
        <v>53.123399999999997</v>
      </c>
      <c r="AB888" s="54">
        <v>694.72360000000003</v>
      </c>
      <c r="AC888" s="54">
        <v>103.04512727272729</v>
      </c>
      <c r="AD888" s="36">
        <v>483.62480000000005</v>
      </c>
    </row>
    <row r="889" spans="1:30" s="37" customFormat="1" ht="15.75" customHeight="1" x14ac:dyDescent="0.2">
      <c r="A889" s="26">
        <v>950</v>
      </c>
      <c r="B889" s="27" t="s">
        <v>82</v>
      </c>
      <c r="C889" s="27" t="s">
        <v>48</v>
      </c>
      <c r="D889" s="28">
        <v>0.05</v>
      </c>
      <c r="E889" s="29">
        <v>1500.97</v>
      </c>
      <c r="F889" s="29">
        <v>29.7</v>
      </c>
      <c r="G889" s="30" t="s">
        <v>27</v>
      </c>
      <c r="H889" s="27" t="s">
        <v>40</v>
      </c>
      <c r="I889" s="27" t="s">
        <v>41</v>
      </c>
      <c r="J889" s="27" t="s">
        <v>57</v>
      </c>
      <c r="K889" s="27" t="s">
        <v>58</v>
      </c>
      <c r="L889" s="31" t="s">
        <v>1790</v>
      </c>
      <c r="M889" s="32">
        <v>0.56999999999999995</v>
      </c>
      <c r="N889" s="27" t="s">
        <v>33</v>
      </c>
      <c r="O889" s="27" t="s">
        <v>53</v>
      </c>
      <c r="P889" s="27" t="s">
        <v>84</v>
      </c>
      <c r="Q889" s="27" t="s">
        <v>85</v>
      </c>
      <c r="R889" s="33">
        <v>55372</v>
      </c>
      <c r="S889" s="34">
        <v>42085</v>
      </c>
      <c r="T889" s="34">
        <v>42085</v>
      </c>
      <c r="U889" s="29">
        <v>-2561.3235</v>
      </c>
      <c r="V889" s="26">
        <v>1</v>
      </c>
      <c r="W889" s="29">
        <v>1497.22</v>
      </c>
      <c r="X889" s="26">
        <v>89084</v>
      </c>
      <c r="Y889" s="35">
        <v>39.409999999999997</v>
      </c>
      <c r="Z889" s="1" t="s">
        <v>3012</v>
      </c>
      <c r="AA889" s="36">
        <v>75.048500000000004</v>
      </c>
      <c r="AB889" s="54">
        <v>643.80460000000005</v>
      </c>
      <c r="AC889" s="54">
        <v>853.41539999999998</v>
      </c>
      <c r="AD889" s="36">
        <v>3953.7950000000001</v>
      </c>
    </row>
    <row r="890" spans="1:30" s="37" customFormat="1" ht="15.75" customHeight="1" x14ac:dyDescent="0.2">
      <c r="A890" s="26">
        <v>959</v>
      </c>
      <c r="B890" s="27" t="s">
        <v>1796</v>
      </c>
      <c r="C890" s="27" t="s">
        <v>3094</v>
      </c>
      <c r="D890" s="28">
        <v>0.01</v>
      </c>
      <c r="E890" s="29">
        <v>145.44999999999999</v>
      </c>
      <c r="F890" s="29">
        <v>17.850000000000001</v>
      </c>
      <c r="G890" s="30" t="s">
        <v>27</v>
      </c>
      <c r="H890" s="27" t="s">
        <v>94</v>
      </c>
      <c r="I890" s="27" t="s">
        <v>41</v>
      </c>
      <c r="J890" s="27" t="s">
        <v>57</v>
      </c>
      <c r="K890" s="27" t="s">
        <v>58</v>
      </c>
      <c r="L890" s="31" t="s">
        <v>210</v>
      </c>
      <c r="M890" s="32">
        <v>0.56000000000000005</v>
      </c>
      <c r="N890" s="27" t="s">
        <v>33</v>
      </c>
      <c r="O890" s="27" t="s">
        <v>53</v>
      </c>
      <c r="P890" s="27" t="s">
        <v>187</v>
      </c>
      <c r="Q890" s="27" t="s">
        <v>197</v>
      </c>
      <c r="R890" s="33">
        <v>76028</v>
      </c>
      <c r="S890" s="34">
        <v>42085</v>
      </c>
      <c r="T890" s="34">
        <v>42086</v>
      </c>
      <c r="U890" s="29">
        <v>837.6807</v>
      </c>
      <c r="V890" s="26">
        <v>8</v>
      </c>
      <c r="W890" s="29">
        <v>1214.03</v>
      </c>
      <c r="X890" s="26">
        <v>91581</v>
      </c>
      <c r="Y890" s="35">
        <v>4.91</v>
      </c>
      <c r="Z890" s="1" t="s">
        <v>3012</v>
      </c>
      <c r="AA890" s="36">
        <v>11.635999999999999</v>
      </c>
      <c r="AB890" s="54">
        <v>534.17319999999995</v>
      </c>
      <c r="AC890" s="54">
        <v>84.982100000000003</v>
      </c>
      <c r="AD890" s="36">
        <v>346.86329999999998</v>
      </c>
    </row>
    <row r="891" spans="1:30" s="37" customFormat="1" ht="15.75" customHeight="1" x14ac:dyDescent="0.2">
      <c r="A891" s="26">
        <v>949</v>
      </c>
      <c r="B891" s="27" t="s">
        <v>99</v>
      </c>
      <c r="C891" s="27" t="s">
        <v>48</v>
      </c>
      <c r="D891" s="28">
        <v>0.02</v>
      </c>
      <c r="E891" s="29">
        <v>48.04</v>
      </c>
      <c r="F891" s="29">
        <v>5.09</v>
      </c>
      <c r="G891" s="30" t="s">
        <v>39</v>
      </c>
      <c r="H891" s="27" t="s">
        <v>40</v>
      </c>
      <c r="I891" s="27" t="s">
        <v>49</v>
      </c>
      <c r="J891" s="27" t="s">
        <v>88</v>
      </c>
      <c r="K891" s="27" t="s">
        <v>73</v>
      </c>
      <c r="L891" s="31" t="s">
        <v>462</v>
      </c>
      <c r="M891" s="32">
        <v>0.37</v>
      </c>
      <c r="N891" s="27" t="s">
        <v>33</v>
      </c>
      <c r="O891" s="27" t="s">
        <v>60</v>
      </c>
      <c r="P891" s="27" t="s">
        <v>90</v>
      </c>
      <c r="Q891" s="27" t="s">
        <v>100</v>
      </c>
      <c r="R891" s="33">
        <v>90049</v>
      </c>
      <c r="S891" s="34">
        <v>42085</v>
      </c>
      <c r="T891" s="34">
        <v>42089</v>
      </c>
      <c r="U891" s="29">
        <v>373.67</v>
      </c>
      <c r="V891" s="26">
        <v>18</v>
      </c>
      <c r="W891" s="29">
        <v>881.32</v>
      </c>
      <c r="X891" s="26">
        <v>8257</v>
      </c>
      <c r="Y891" s="35">
        <v>48.019999999999996</v>
      </c>
      <c r="Z891" s="1" t="s">
        <v>3013</v>
      </c>
      <c r="AA891" s="36">
        <v>17.2944</v>
      </c>
      <c r="AB891" s="54">
        <v>555.23160000000007</v>
      </c>
      <c r="AC891" s="54">
        <v>18.116022222222224</v>
      </c>
      <c r="AD891" s="36">
        <v>485.26560000000006</v>
      </c>
    </row>
    <row r="892" spans="1:30" s="37" customFormat="1" ht="15.75" customHeight="1" x14ac:dyDescent="0.2">
      <c r="A892" s="26">
        <v>1938</v>
      </c>
      <c r="B892" s="27" t="s">
        <v>1792</v>
      </c>
      <c r="C892" s="27" t="s">
        <v>116</v>
      </c>
      <c r="D892" s="28">
        <v>0.1</v>
      </c>
      <c r="E892" s="29">
        <v>152.47999999999999</v>
      </c>
      <c r="F892" s="29">
        <v>4</v>
      </c>
      <c r="G892" s="30" t="s">
        <v>87</v>
      </c>
      <c r="H892" s="27" t="s">
        <v>94</v>
      </c>
      <c r="I892" s="27" t="s">
        <v>41</v>
      </c>
      <c r="J892" s="27" t="s">
        <v>42</v>
      </c>
      <c r="K892" s="27" t="s">
        <v>73</v>
      </c>
      <c r="L892" s="31" t="s">
        <v>1793</v>
      </c>
      <c r="M892" s="32">
        <v>0.79</v>
      </c>
      <c r="N892" s="27" t="s">
        <v>33</v>
      </c>
      <c r="O892" s="27" t="s">
        <v>53</v>
      </c>
      <c r="P892" s="27" t="s">
        <v>537</v>
      </c>
      <c r="Q892" s="27" t="s">
        <v>1794</v>
      </c>
      <c r="R892" s="33">
        <v>66801</v>
      </c>
      <c r="S892" s="34">
        <v>42085</v>
      </c>
      <c r="T892" s="34">
        <v>42086</v>
      </c>
      <c r="U892" s="29">
        <v>-521.09</v>
      </c>
      <c r="V892" s="26">
        <v>4</v>
      </c>
      <c r="W892" s="29">
        <v>558.16999999999996</v>
      </c>
      <c r="X892" s="26">
        <v>88870</v>
      </c>
      <c r="Y892" s="35">
        <v>1500.92</v>
      </c>
      <c r="Z892" s="1" t="s">
        <v>3012</v>
      </c>
      <c r="AA892" s="36">
        <v>60.991999999999997</v>
      </c>
      <c r="AB892" s="54">
        <v>117.21569999999997</v>
      </c>
      <c r="AC892" s="54">
        <v>110.238575</v>
      </c>
      <c r="AD892" s="36">
        <v>1014.268</v>
      </c>
    </row>
    <row r="893" spans="1:30" s="37" customFormat="1" ht="15.75" customHeight="1" x14ac:dyDescent="0.2">
      <c r="A893" s="26">
        <v>950</v>
      </c>
      <c r="B893" s="27" t="s">
        <v>82</v>
      </c>
      <c r="C893" s="27" t="s">
        <v>48</v>
      </c>
      <c r="D893" s="28">
        <v>0.02</v>
      </c>
      <c r="E893" s="29">
        <v>48.04</v>
      </c>
      <c r="F893" s="29">
        <v>5.09</v>
      </c>
      <c r="G893" s="30" t="s">
        <v>39</v>
      </c>
      <c r="H893" s="27" t="s">
        <v>40</v>
      </c>
      <c r="I893" s="27" t="s">
        <v>49</v>
      </c>
      <c r="J893" s="27" t="s">
        <v>88</v>
      </c>
      <c r="K893" s="27" t="s">
        <v>73</v>
      </c>
      <c r="L893" s="31" t="s">
        <v>462</v>
      </c>
      <c r="M893" s="32">
        <v>0.37</v>
      </c>
      <c r="N893" s="27" t="s">
        <v>33</v>
      </c>
      <c r="O893" s="27" t="s">
        <v>53</v>
      </c>
      <c r="P893" s="27" t="s">
        <v>84</v>
      </c>
      <c r="Q893" s="27" t="s">
        <v>85</v>
      </c>
      <c r="R893" s="33">
        <v>55372</v>
      </c>
      <c r="S893" s="34">
        <v>42085</v>
      </c>
      <c r="T893" s="34">
        <v>42089</v>
      </c>
      <c r="U893" s="29">
        <v>168.91890000000001</v>
      </c>
      <c r="V893" s="26">
        <v>5</v>
      </c>
      <c r="W893" s="29">
        <v>244.81</v>
      </c>
      <c r="X893" s="26">
        <v>89084</v>
      </c>
      <c r="Y893" s="35">
        <v>48.019999999999996</v>
      </c>
      <c r="Z893" s="1" t="s">
        <v>3012</v>
      </c>
      <c r="AA893" s="36">
        <v>4.8040000000000003</v>
      </c>
      <c r="AB893" s="54">
        <v>154.2303</v>
      </c>
      <c r="AC893" s="54">
        <v>18.115940000000002</v>
      </c>
      <c r="AD893" s="36">
        <v>65.997099999999989</v>
      </c>
    </row>
    <row r="894" spans="1:30" s="37" customFormat="1" ht="15.75" customHeight="1" x14ac:dyDescent="0.2">
      <c r="A894" s="26">
        <v>2014</v>
      </c>
      <c r="B894" s="27" t="s">
        <v>1788</v>
      </c>
      <c r="C894" s="27" t="s">
        <v>38</v>
      </c>
      <c r="D894" s="28">
        <v>7.0000000000000007E-2</v>
      </c>
      <c r="E894" s="29">
        <v>39.479999999999997</v>
      </c>
      <c r="F894" s="29">
        <v>1.99</v>
      </c>
      <c r="G894" s="30" t="s">
        <v>39</v>
      </c>
      <c r="H894" s="27" t="s">
        <v>71</v>
      </c>
      <c r="I894" s="27" t="s">
        <v>41</v>
      </c>
      <c r="J894" s="27" t="s">
        <v>42</v>
      </c>
      <c r="K894" s="27" t="s">
        <v>43</v>
      </c>
      <c r="L894" s="31" t="s">
        <v>1257</v>
      </c>
      <c r="M894" s="32">
        <v>0.54</v>
      </c>
      <c r="N894" s="27" t="s">
        <v>33</v>
      </c>
      <c r="O894" s="27" t="s">
        <v>53</v>
      </c>
      <c r="P894" s="27" t="s">
        <v>213</v>
      </c>
      <c r="Q894" s="27" t="s">
        <v>1789</v>
      </c>
      <c r="R894" s="33">
        <v>51503</v>
      </c>
      <c r="S894" s="34">
        <v>42085</v>
      </c>
      <c r="T894" s="34">
        <v>42087</v>
      </c>
      <c r="U894" s="29">
        <v>88.72</v>
      </c>
      <c r="V894" s="26">
        <v>4</v>
      </c>
      <c r="W894" s="29">
        <v>151.27000000000001</v>
      </c>
      <c r="X894" s="26">
        <v>88367</v>
      </c>
      <c r="Y894" s="35">
        <v>4.25</v>
      </c>
      <c r="Z894" s="1" t="s">
        <v>3012</v>
      </c>
      <c r="AA894" s="36">
        <v>11.054399999999999</v>
      </c>
      <c r="AB894" s="54">
        <v>69.584199999999996</v>
      </c>
      <c r="AC894" s="54">
        <v>20.421450000000004</v>
      </c>
      <c r="AD894" s="36">
        <v>49.505600000000015</v>
      </c>
    </row>
    <row r="895" spans="1:30" s="37" customFormat="1" ht="15.75" customHeight="1" x14ac:dyDescent="0.2">
      <c r="A895" s="26">
        <v>1553</v>
      </c>
      <c r="B895" s="27" t="s">
        <v>1797</v>
      </c>
      <c r="C895" s="27" t="s">
        <v>3094</v>
      </c>
      <c r="D895" s="28">
        <v>0.03</v>
      </c>
      <c r="E895" s="29">
        <v>12.28</v>
      </c>
      <c r="F895" s="29">
        <v>6.35</v>
      </c>
      <c r="G895" s="30" t="s">
        <v>39</v>
      </c>
      <c r="H895" s="27" t="s">
        <v>3095</v>
      </c>
      <c r="I895" s="27" t="s">
        <v>49</v>
      </c>
      <c r="J895" s="27" t="s">
        <v>88</v>
      </c>
      <c r="K895" s="27" t="s">
        <v>73</v>
      </c>
      <c r="L895" s="31" t="s">
        <v>1733</v>
      </c>
      <c r="M895" s="32">
        <v>0.38</v>
      </c>
      <c r="N895" s="27" t="s">
        <v>33</v>
      </c>
      <c r="O895" s="27" t="s">
        <v>34</v>
      </c>
      <c r="P895" s="27" t="s">
        <v>35</v>
      </c>
      <c r="Q895" s="27" t="s">
        <v>1027</v>
      </c>
      <c r="R895" s="33">
        <v>38701</v>
      </c>
      <c r="S895" s="34">
        <v>42085</v>
      </c>
      <c r="T895" s="34">
        <v>42087</v>
      </c>
      <c r="U895" s="29">
        <v>68.676000000000002</v>
      </c>
      <c r="V895" s="26">
        <v>7</v>
      </c>
      <c r="W895" s="29">
        <v>87.53</v>
      </c>
      <c r="X895" s="26">
        <v>87484</v>
      </c>
      <c r="Y895" s="35">
        <v>152.38</v>
      </c>
      <c r="Z895" s="1" t="s">
        <v>3011</v>
      </c>
      <c r="AA895" s="36">
        <v>2.5787999999999998</v>
      </c>
      <c r="AB895" s="54">
        <v>54.268599999999999</v>
      </c>
      <c r="AC895" s="54">
        <v>4.7516285714285713</v>
      </c>
      <c r="AD895" s="36">
        <v>9.9252000000000038</v>
      </c>
    </row>
    <row r="896" spans="1:30" s="37" customFormat="1" ht="15.75" customHeight="1" x14ac:dyDescent="0.2">
      <c r="A896" s="26">
        <v>87</v>
      </c>
      <c r="B896" s="27" t="s">
        <v>1786</v>
      </c>
      <c r="C896" s="27" t="s">
        <v>38</v>
      </c>
      <c r="D896" s="28">
        <v>0.09</v>
      </c>
      <c r="E896" s="29">
        <v>4.91</v>
      </c>
      <c r="F896" s="29">
        <v>0.5</v>
      </c>
      <c r="G896" s="30" t="s">
        <v>39</v>
      </c>
      <c r="H896" s="27" t="s">
        <v>94</v>
      </c>
      <c r="I896" s="27" t="s">
        <v>49</v>
      </c>
      <c r="J896" s="27" t="s">
        <v>152</v>
      </c>
      <c r="K896" s="27" t="s">
        <v>73</v>
      </c>
      <c r="L896" s="31" t="s">
        <v>973</v>
      </c>
      <c r="M896" s="32">
        <v>0.36</v>
      </c>
      <c r="N896" s="27" t="s">
        <v>33</v>
      </c>
      <c r="O896" s="27" t="s">
        <v>60</v>
      </c>
      <c r="P896" s="27" t="s">
        <v>90</v>
      </c>
      <c r="Q896" s="27" t="s">
        <v>1787</v>
      </c>
      <c r="R896" s="33">
        <v>95687</v>
      </c>
      <c r="S896" s="34">
        <v>42085</v>
      </c>
      <c r="T896" s="34">
        <v>42086</v>
      </c>
      <c r="U896" s="29">
        <v>28.855799999999999</v>
      </c>
      <c r="V896" s="26">
        <v>9</v>
      </c>
      <c r="W896" s="29">
        <v>41.82</v>
      </c>
      <c r="X896" s="26">
        <v>90597</v>
      </c>
      <c r="Y896" s="35">
        <v>6.76</v>
      </c>
      <c r="Z896" s="1" t="s">
        <v>3013</v>
      </c>
      <c r="AA896" s="36">
        <v>3.9771000000000001</v>
      </c>
      <c r="AB896" s="54">
        <v>26.764800000000001</v>
      </c>
      <c r="AC896" s="54">
        <v>1.6727999999999998</v>
      </c>
      <c r="AD896" s="36">
        <v>8.4871000000000052</v>
      </c>
    </row>
    <row r="897" spans="1:30" s="37" customFormat="1" ht="15.75" customHeight="1" x14ac:dyDescent="0.2">
      <c r="A897" s="26">
        <v>2014</v>
      </c>
      <c r="B897" s="27" t="s">
        <v>1788</v>
      </c>
      <c r="C897" s="27" t="s">
        <v>38</v>
      </c>
      <c r="D897" s="28">
        <v>0</v>
      </c>
      <c r="E897" s="29">
        <v>4.91</v>
      </c>
      <c r="F897" s="29">
        <v>0.5</v>
      </c>
      <c r="G897" s="30" t="s">
        <v>39</v>
      </c>
      <c r="H897" s="27" t="s">
        <v>71</v>
      </c>
      <c r="I897" s="27" t="s">
        <v>49</v>
      </c>
      <c r="J897" s="27" t="s">
        <v>152</v>
      </c>
      <c r="K897" s="27" t="s">
        <v>73</v>
      </c>
      <c r="L897" s="31" t="s">
        <v>973</v>
      </c>
      <c r="M897" s="32">
        <v>0.36</v>
      </c>
      <c r="N897" s="27" t="s">
        <v>33</v>
      </c>
      <c r="O897" s="27" t="s">
        <v>53</v>
      </c>
      <c r="P897" s="27" t="s">
        <v>213</v>
      </c>
      <c r="Q897" s="27" t="s">
        <v>1789</v>
      </c>
      <c r="R897" s="33">
        <v>51503</v>
      </c>
      <c r="S897" s="34">
        <v>42085</v>
      </c>
      <c r="T897" s="34">
        <v>42087</v>
      </c>
      <c r="U897" s="29">
        <v>7.2519</v>
      </c>
      <c r="V897" s="26">
        <v>2</v>
      </c>
      <c r="W897" s="29">
        <v>10.51</v>
      </c>
      <c r="X897" s="26">
        <v>88367</v>
      </c>
      <c r="Y897" s="35">
        <v>145.44</v>
      </c>
      <c r="Z897" s="1" t="s">
        <v>3012</v>
      </c>
      <c r="AA897" s="36">
        <v>0</v>
      </c>
      <c r="AB897" s="54">
        <v>6.7263999999999999</v>
      </c>
      <c r="AC897" s="54">
        <v>1.8917999999999999</v>
      </c>
      <c r="AD897" s="36">
        <v>2.7580999999999998</v>
      </c>
    </row>
    <row r="898" spans="1:30" s="37" customFormat="1" ht="15.75" customHeight="1" x14ac:dyDescent="0.2">
      <c r="A898" s="26">
        <v>1940</v>
      </c>
      <c r="B898" s="27" t="s">
        <v>1795</v>
      </c>
      <c r="C898" s="27" t="s">
        <v>116</v>
      </c>
      <c r="D898" s="28">
        <v>0.08</v>
      </c>
      <c r="E898" s="29">
        <v>6.84</v>
      </c>
      <c r="F898" s="29">
        <v>8.3699999999999992</v>
      </c>
      <c r="G898" s="30" t="s">
        <v>39</v>
      </c>
      <c r="H898" s="27" t="s">
        <v>94</v>
      </c>
      <c r="I898" s="27" t="s">
        <v>49</v>
      </c>
      <c r="J898" s="27" t="s">
        <v>568</v>
      </c>
      <c r="K898" s="27" t="s">
        <v>43</v>
      </c>
      <c r="L898" s="31" t="s">
        <v>736</v>
      </c>
      <c r="M898" s="32">
        <v>0.57999999999999996</v>
      </c>
      <c r="N898" s="27" t="s">
        <v>33</v>
      </c>
      <c r="O898" s="27" t="s">
        <v>60</v>
      </c>
      <c r="P898" s="27" t="s">
        <v>146</v>
      </c>
      <c r="Q898" s="27" t="s">
        <v>147</v>
      </c>
      <c r="R898" s="33">
        <v>84020</v>
      </c>
      <c r="S898" s="34">
        <v>42085</v>
      </c>
      <c r="T898" s="34">
        <v>42087</v>
      </c>
      <c r="U898" s="29">
        <v>-29.49</v>
      </c>
      <c r="V898" s="26">
        <v>1</v>
      </c>
      <c r="W898" s="29">
        <v>8.39</v>
      </c>
      <c r="X898" s="26">
        <v>88870</v>
      </c>
      <c r="Y898" s="35">
        <v>12.25</v>
      </c>
      <c r="Z898" s="1" t="s">
        <v>3013</v>
      </c>
      <c r="AA898" s="36">
        <v>0.54720000000000002</v>
      </c>
      <c r="AB898" s="54">
        <v>3.5238000000000005</v>
      </c>
      <c r="AC898" s="54">
        <v>4.8662000000000001</v>
      </c>
      <c r="AD898" s="36">
        <v>28.962799999999998</v>
      </c>
    </row>
    <row r="899" spans="1:30" s="37" customFormat="1" ht="15.75" customHeight="1" x14ac:dyDescent="0.2">
      <c r="A899" s="26">
        <v>950</v>
      </c>
      <c r="B899" s="27" t="s">
        <v>82</v>
      </c>
      <c r="C899" s="27" t="s">
        <v>48</v>
      </c>
      <c r="D899" s="28">
        <v>0.03</v>
      </c>
      <c r="E899" s="29">
        <v>4.28</v>
      </c>
      <c r="F899" s="29">
        <v>1.6</v>
      </c>
      <c r="G899" s="30" t="s">
        <v>39</v>
      </c>
      <c r="H899" s="27" t="s">
        <v>40</v>
      </c>
      <c r="I899" s="27" t="s">
        <v>49</v>
      </c>
      <c r="J899" s="27" t="s">
        <v>50</v>
      </c>
      <c r="K899" s="27" t="s">
        <v>51</v>
      </c>
      <c r="L899" s="31" t="s">
        <v>1791</v>
      </c>
      <c r="M899" s="32">
        <v>0.57999999999999996</v>
      </c>
      <c r="N899" s="27" t="s">
        <v>33</v>
      </c>
      <c r="O899" s="27" t="s">
        <v>53</v>
      </c>
      <c r="P899" s="27" t="s">
        <v>84</v>
      </c>
      <c r="Q899" s="27" t="s">
        <v>85</v>
      </c>
      <c r="R899" s="33">
        <v>55372</v>
      </c>
      <c r="S899" s="34">
        <v>42085</v>
      </c>
      <c r="T899" s="34">
        <v>42092</v>
      </c>
      <c r="U899" s="29">
        <v>-6.2</v>
      </c>
      <c r="V899" s="26">
        <v>1</v>
      </c>
      <c r="W899" s="29">
        <v>4.55</v>
      </c>
      <c r="X899" s="26">
        <v>89084</v>
      </c>
      <c r="Y899" s="35">
        <v>160.94999999999999</v>
      </c>
      <c r="Z899" s="1" t="s">
        <v>3012</v>
      </c>
      <c r="AA899" s="36">
        <v>0.12840000000000001</v>
      </c>
      <c r="AB899" s="54">
        <v>1.911</v>
      </c>
      <c r="AC899" s="54">
        <v>2.6389999999999998</v>
      </c>
      <c r="AD899" s="36">
        <v>9.0215999999999994</v>
      </c>
    </row>
    <row r="900" spans="1:30" s="37" customFormat="1" ht="15.75" customHeight="1" x14ac:dyDescent="0.2">
      <c r="A900" s="26">
        <v>2618</v>
      </c>
      <c r="B900" s="27" t="s">
        <v>607</v>
      </c>
      <c r="C900" s="27" t="s">
        <v>26</v>
      </c>
      <c r="D900" s="28">
        <v>0.1</v>
      </c>
      <c r="E900" s="29">
        <v>20.27</v>
      </c>
      <c r="F900" s="29">
        <v>3.99</v>
      </c>
      <c r="G900" s="30" t="s">
        <v>39</v>
      </c>
      <c r="H900" s="27" t="s">
        <v>94</v>
      </c>
      <c r="I900" s="27" t="s">
        <v>49</v>
      </c>
      <c r="J900" s="27" t="s">
        <v>95</v>
      </c>
      <c r="K900" s="27" t="s">
        <v>73</v>
      </c>
      <c r="L900" s="31" t="s">
        <v>1800</v>
      </c>
      <c r="M900" s="32">
        <v>0.56999999999999995</v>
      </c>
      <c r="N900" s="27" t="s">
        <v>33</v>
      </c>
      <c r="O900" s="27" t="s">
        <v>111</v>
      </c>
      <c r="P900" s="27" t="s">
        <v>112</v>
      </c>
      <c r="Q900" s="27" t="s">
        <v>113</v>
      </c>
      <c r="R900" s="33">
        <v>10004</v>
      </c>
      <c r="S900" s="34">
        <v>42086</v>
      </c>
      <c r="T900" s="34">
        <v>42087</v>
      </c>
      <c r="U900" s="29">
        <v>84.05</v>
      </c>
      <c r="V900" s="26">
        <v>53</v>
      </c>
      <c r="W900" s="29">
        <v>1051.52</v>
      </c>
      <c r="X900" s="26">
        <v>53153</v>
      </c>
      <c r="Y900" s="35">
        <v>40.93</v>
      </c>
      <c r="Z900" s="1" t="s">
        <v>3014</v>
      </c>
      <c r="AA900" s="36">
        <v>107.43100000000001</v>
      </c>
      <c r="AB900" s="54">
        <v>452.15360000000004</v>
      </c>
      <c r="AC900" s="54">
        <v>11.3088</v>
      </c>
      <c r="AD900" s="36">
        <v>856.04899999999998</v>
      </c>
    </row>
    <row r="901" spans="1:30" s="37" customFormat="1" ht="15.75" customHeight="1" x14ac:dyDescent="0.2">
      <c r="A901" s="26">
        <v>2395</v>
      </c>
      <c r="B901" s="27" t="s">
        <v>1809</v>
      </c>
      <c r="C901" s="27" t="s">
        <v>3094</v>
      </c>
      <c r="D901" s="28">
        <v>0.04</v>
      </c>
      <c r="E901" s="29">
        <v>60.97</v>
      </c>
      <c r="F901" s="29">
        <v>4.5</v>
      </c>
      <c r="G901" s="30" t="s">
        <v>39</v>
      </c>
      <c r="H901" s="27" t="s">
        <v>94</v>
      </c>
      <c r="I901" s="27" t="s">
        <v>49</v>
      </c>
      <c r="J901" s="27" t="s">
        <v>95</v>
      </c>
      <c r="K901" s="27" t="s">
        <v>73</v>
      </c>
      <c r="L901" s="31" t="s">
        <v>96</v>
      </c>
      <c r="M901" s="32">
        <v>0.56000000000000005</v>
      </c>
      <c r="N901" s="27" t="s">
        <v>33</v>
      </c>
      <c r="O901" s="27" t="s">
        <v>34</v>
      </c>
      <c r="P901" s="27" t="s">
        <v>75</v>
      </c>
      <c r="Q901" s="27" t="s">
        <v>1810</v>
      </c>
      <c r="R901" s="33">
        <v>31401</v>
      </c>
      <c r="S901" s="34">
        <v>42086</v>
      </c>
      <c r="T901" s="34">
        <v>42087</v>
      </c>
      <c r="U901" s="29">
        <v>79.423199999999994</v>
      </c>
      <c r="V901" s="26">
        <v>15</v>
      </c>
      <c r="W901" s="29">
        <v>904.31</v>
      </c>
      <c r="X901" s="26">
        <v>86952</v>
      </c>
      <c r="Y901" s="35">
        <v>20.169999999999998</v>
      </c>
      <c r="Z901" s="1" t="s">
        <v>3011</v>
      </c>
      <c r="AA901" s="36">
        <v>36.582000000000001</v>
      </c>
      <c r="AB901" s="54">
        <v>397.89639999999991</v>
      </c>
      <c r="AC901" s="54">
        <v>33.760906666666671</v>
      </c>
      <c r="AD901" s="36">
        <v>783.80479999999989</v>
      </c>
    </row>
    <row r="902" spans="1:30" s="37" customFormat="1" ht="15.75" customHeight="1" x14ac:dyDescent="0.2">
      <c r="A902" s="26">
        <v>1976</v>
      </c>
      <c r="B902" s="27" t="s">
        <v>377</v>
      </c>
      <c r="C902" s="27" t="s">
        <v>26</v>
      </c>
      <c r="D902" s="28">
        <v>0.06</v>
      </c>
      <c r="E902" s="29">
        <v>40.99</v>
      </c>
      <c r="F902" s="29">
        <v>17.48</v>
      </c>
      <c r="G902" s="30" t="s">
        <v>39</v>
      </c>
      <c r="H902" s="27" t="s">
        <v>40</v>
      </c>
      <c r="I902" s="27" t="s">
        <v>49</v>
      </c>
      <c r="J902" s="27" t="s">
        <v>88</v>
      </c>
      <c r="K902" s="27" t="s">
        <v>73</v>
      </c>
      <c r="L902" s="31" t="s">
        <v>1398</v>
      </c>
      <c r="M902" s="32">
        <v>0.36</v>
      </c>
      <c r="N902" s="27" t="s">
        <v>33</v>
      </c>
      <c r="O902" s="27" t="s">
        <v>53</v>
      </c>
      <c r="P902" s="27" t="s">
        <v>289</v>
      </c>
      <c r="Q902" s="27" t="s">
        <v>379</v>
      </c>
      <c r="R902" s="33">
        <v>48823</v>
      </c>
      <c r="S902" s="34">
        <v>42086</v>
      </c>
      <c r="T902" s="34">
        <v>42088</v>
      </c>
      <c r="U902" s="29">
        <v>214.23</v>
      </c>
      <c r="V902" s="26">
        <v>14</v>
      </c>
      <c r="W902" s="29">
        <v>585.08000000000004</v>
      </c>
      <c r="X902" s="26">
        <v>89041</v>
      </c>
      <c r="Y902" s="35">
        <v>20.169999999999998</v>
      </c>
      <c r="Z902" s="1" t="s">
        <v>3012</v>
      </c>
      <c r="AA902" s="36">
        <v>34.431600000000003</v>
      </c>
      <c r="AB902" s="54">
        <v>374.45120000000003</v>
      </c>
      <c r="AC902" s="54">
        <v>15.044914285714286</v>
      </c>
      <c r="AD902" s="36">
        <v>318.93840000000006</v>
      </c>
    </row>
    <row r="903" spans="1:30" s="37" customFormat="1" ht="15.75" customHeight="1" x14ac:dyDescent="0.2">
      <c r="A903" s="26">
        <v>2618</v>
      </c>
      <c r="B903" s="27" t="s">
        <v>607</v>
      </c>
      <c r="C903" s="27" t="s">
        <v>38</v>
      </c>
      <c r="D903" s="28">
        <v>0.01</v>
      </c>
      <c r="E903" s="29">
        <v>14.98</v>
      </c>
      <c r="F903" s="29">
        <v>7.69</v>
      </c>
      <c r="G903" s="30" t="s">
        <v>39</v>
      </c>
      <c r="H903" s="27" t="s">
        <v>94</v>
      </c>
      <c r="I903" s="27" t="s">
        <v>49</v>
      </c>
      <c r="J903" s="27" t="s">
        <v>78</v>
      </c>
      <c r="K903" s="27" t="s">
        <v>73</v>
      </c>
      <c r="L903" s="31" t="s">
        <v>688</v>
      </c>
      <c r="M903" s="32">
        <v>0.56999999999999995</v>
      </c>
      <c r="N903" s="27" t="s">
        <v>33</v>
      </c>
      <c r="O903" s="27" t="s">
        <v>111</v>
      </c>
      <c r="P903" s="27" t="s">
        <v>112</v>
      </c>
      <c r="Q903" s="27" t="s">
        <v>113</v>
      </c>
      <c r="R903" s="33">
        <v>10004</v>
      </c>
      <c r="S903" s="34">
        <v>42086</v>
      </c>
      <c r="T903" s="34">
        <v>42088</v>
      </c>
      <c r="U903" s="29">
        <v>-48.97</v>
      </c>
      <c r="V903" s="26">
        <v>28</v>
      </c>
      <c r="W903" s="29">
        <v>435.39</v>
      </c>
      <c r="X903" s="26">
        <v>34017</v>
      </c>
      <c r="Y903" s="35">
        <v>4.79</v>
      </c>
      <c r="Z903" s="1" t="s">
        <v>3014</v>
      </c>
      <c r="AA903" s="36">
        <v>4.1944000000000008</v>
      </c>
      <c r="AB903" s="54">
        <v>187.21770000000001</v>
      </c>
      <c r="AC903" s="54">
        <v>8.8632964285714273</v>
      </c>
      <c r="AD903" s="36">
        <v>472.47559999999999</v>
      </c>
    </row>
    <row r="904" spans="1:30" s="37" customFormat="1" ht="15.75" customHeight="1" x14ac:dyDescent="0.2">
      <c r="A904" s="26">
        <v>2958</v>
      </c>
      <c r="B904" s="27" t="s">
        <v>1803</v>
      </c>
      <c r="C904" s="27" t="s">
        <v>48</v>
      </c>
      <c r="D904" s="28">
        <v>0.06</v>
      </c>
      <c r="E904" s="29">
        <v>20.99</v>
      </c>
      <c r="F904" s="29">
        <v>0.99</v>
      </c>
      <c r="G904" s="30" t="s">
        <v>39</v>
      </c>
      <c r="H904" s="27" t="s">
        <v>94</v>
      </c>
      <c r="I904" s="27" t="s">
        <v>41</v>
      </c>
      <c r="J904" s="27" t="s">
        <v>135</v>
      </c>
      <c r="K904" s="27" t="s">
        <v>51</v>
      </c>
      <c r="L904" s="31" t="s">
        <v>1804</v>
      </c>
      <c r="M904" s="32">
        <v>0.37</v>
      </c>
      <c r="N904" s="27" t="s">
        <v>33</v>
      </c>
      <c r="O904" s="27" t="s">
        <v>53</v>
      </c>
      <c r="P904" s="27" t="s">
        <v>357</v>
      </c>
      <c r="Q904" s="27" t="s">
        <v>1805</v>
      </c>
      <c r="R904" s="33">
        <v>54956</v>
      </c>
      <c r="S904" s="34">
        <v>42086</v>
      </c>
      <c r="T904" s="34">
        <v>42091</v>
      </c>
      <c r="U904" s="29">
        <v>224.9607</v>
      </c>
      <c r="V904" s="26">
        <v>18</v>
      </c>
      <c r="W904" s="29">
        <v>326.02999999999997</v>
      </c>
      <c r="X904" s="26">
        <v>90265</v>
      </c>
      <c r="Y904" s="35">
        <v>14.97</v>
      </c>
      <c r="Z904" s="1" t="s">
        <v>3012</v>
      </c>
      <c r="AA904" s="36">
        <v>22.669199999999996</v>
      </c>
      <c r="AB904" s="54">
        <v>205.3989</v>
      </c>
      <c r="AC904" s="54">
        <v>6.7017277777777773</v>
      </c>
      <c r="AD904" s="36">
        <v>77.410099999999971</v>
      </c>
    </row>
    <row r="905" spans="1:30" s="37" customFormat="1" ht="15.75" customHeight="1" x14ac:dyDescent="0.2">
      <c r="A905" s="26">
        <v>2620</v>
      </c>
      <c r="B905" s="27" t="s">
        <v>1801</v>
      </c>
      <c r="C905" s="27" t="s">
        <v>26</v>
      </c>
      <c r="D905" s="28">
        <v>0.1</v>
      </c>
      <c r="E905" s="29">
        <v>20.27</v>
      </c>
      <c r="F905" s="29">
        <v>3.99</v>
      </c>
      <c r="G905" s="30" t="s">
        <v>39</v>
      </c>
      <c r="H905" s="27" t="s">
        <v>94</v>
      </c>
      <c r="I905" s="27" t="s">
        <v>49</v>
      </c>
      <c r="J905" s="27" t="s">
        <v>95</v>
      </c>
      <c r="K905" s="27" t="s">
        <v>73</v>
      </c>
      <c r="L905" s="31" t="s">
        <v>1800</v>
      </c>
      <c r="M905" s="32">
        <v>0.56999999999999995</v>
      </c>
      <c r="N905" s="27" t="s">
        <v>33</v>
      </c>
      <c r="O905" s="27" t="s">
        <v>34</v>
      </c>
      <c r="P905" s="27" t="s">
        <v>400</v>
      </c>
      <c r="Q905" s="27" t="s">
        <v>1802</v>
      </c>
      <c r="R905" s="33">
        <v>38134</v>
      </c>
      <c r="S905" s="34">
        <v>42086</v>
      </c>
      <c r="T905" s="34">
        <v>42087</v>
      </c>
      <c r="U905" s="29">
        <v>381.61799999999999</v>
      </c>
      <c r="V905" s="26">
        <v>13</v>
      </c>
      <c r="W905" s="29">
        <v>257.92</v>
      </c>
      <c r="X905" s="26">
        <v>88017</v>
      </c>
      <c r="Y905" s="35">
        <v>4.79</v>
      </c>
      <c r="Z905" s="1" t="s">
        <v>3011</v>
      </c>
      <c r="AA905" s="36">
        <v>26.351000000000003</v>
      </c>
      <c r="AB905" s="54">
        <v>110.90560000000002</v>
      </c>
      <c r="AC905" s="54">
        <v>11.3088</v>
      </c>
      <c r="AD905" s="36">
        <v>-154.03899999999999</v>
      </c>
    </row>
    <row r="906" spans="1:30" s="37" customFormat="1" ht="15.75" customHeight="1" x14ac:dyDescent="0.2">
      <c r="A906" s="26">
        <v>1369</v>
      </c>
      <c r="B906" s="27" t="s">
        <v>1808</v>
      </c>
      <c r="C906" s="27" t="s">
        <v>116</v>
      </c>
      <c r="D906" s="28">
        <v>7.0000000000000007E-2</v>
      </c>
      <c r="E906" s="29">
        <v>9.7799999999999994</v>
      </c>
      <c r="F906" s="29">
        <v>5.76</v>
      </c>
      <c r="G906" s="30" t="s">
        <v>87</v>
      </c>
      <c r="H906" s="27" t="s">
        <v>40</v>
      </c>
      <c r="I906" s="27" t="s">
        <v>49</v>
      </c>
      <c r="J906" s="27" t="s">
        <v>345</v>
      </c>
      <c r="K906" s="27" t="s">
        <v>73</v>
      </c>
      <c r="L906" s="31" t="s">
        <v>1511</v>
      </c>
      <c r="M906" s="32">
        <v>0.35</v>
      </c>
      <c r="N906" s="27" t="s">
        <v>33</v>
      </c>
      <c r="O906" s="27" t="s">
        <v>53</v>
      </c>
      <c r="P906" s="27" t="s">
        <v>187</v>
      </c>
      <c r="Q906" s="27" t="s">
        <v>1454</v>
      </c>
      <c r="R906" s="33">
        <v>76063</v>
      </c>
      <c r="S906" s="34">
        <v>42086</v>
      </c>
      <c r="T906" s="34">
        <v>42088</v>
      </c>
      <c r="U906" s="29">
        <v>20.14</v>
      </c>
      <c r="V906" s="26">
        <v>11</v>
      </c>
      <c r="W906" s="29">
        <v>110.72</v>
      </c>
      <c r="X906" s="26">
        <v>90514</v>
      </c>
      <c r="Y906" s="35">
        <v>20.93</v>
      </c>
      <c r="Z906" s="1" t="s">
        <v>3012</v>
      </c>
      <c r="AA906" s="36">
        <v>7.5305999999999997</v>
      </c>
      <c r="AB906" s="54">
        <v>71.968000000000004</v>
      </c>
      <c r="AC906" s="54">
        <v>3.5229090909090903</v>
      </c>
      <c r="AD906" s="36">
        <v>77.289400000000001</v>
      </c>
    </row>
    <row r="907" spans="1:30" s="37" customFormat="1" ht="15.75" customHeight="1" x14ac:dyDescent="0.2">
      <c r="A907" s="26">
        <v>2618</v>
      </c>
      <c r="B907" s="27" t="s">
        <v>607</v>
      </c>
      <c r="C907" s="27" t="s">
        <v>38</v>
      </c>
      <c r="D907" s="28">
        <v>0.05</v>
      </c>
      <c r="E907" s="29">
        <v>4.84</v>
      </c>
      <c r="F907" s="29">
        <v>0.71</v>
      </c>
      <c r="G907" s="30" t="s">
        <v>87</v>
      </c>
      <c r="H907" s="27" t="s">
        <v>94</v>
      </c>
      <c r="I907" s="27" t="s">
        <v>49</v>
      </c>
      <c r="J907" s="27" t="s">
        <v>50</v>
      </c>
      <c r="K907" s="27" t="s">
        <v>51</v>
      </c>
      <c r="L907" s="31" t="s">
        <v>52</v>
      </c>
      <c r="M907" s="32">
        <v>0.52</v>
      </c>
      <c r="N907" s="27" t="s">
        <v>33</v>
      </c>
      <c r="O907" s="27" t="s">
        <v>111</v>
      </c>
      <c r="P907" s="27" t="s">
        <v>112</v>
      </c>
      <c r="Q907" s="27" t="s">
        <v>113</v>
      </c>
      <c r="R907" s="33">
        <v>10004</v>
      </c>
      <c r="S907" s="34">
        <v>42086</v>
      </c>
      <c r="T907" s="34">
        <v>42086</v>
      </c>
      <c r="U907" s="29">
        <v>29.17</v>
      </c>
      <c r="V907" s="26">
        <v>20</v>
      </c>
      <c r="W907" s="29">
        <v>103.39</v>
      </c>
      <c r="X907" s="26">
        <v>34017</v>
      </c>
      <c r="Y907" s="35">
        <v>4.46</v>
      </c>
      <c r="Z907" s="1" t="s">
        <v>3014</v>
      </c>
      <c r="AA907" s="36">
        <v>4.84</v>
      </c>
      <c r="AB907" s="54">
        <v>49.627200000000002</v>
      </c>
      <c r="AC907" s="54">
        <v>2.6881400000000002</v>
      </c>
      <c r="AD907" s="36">
        <v>68.67</v>
      </c>
    </row>
    <row r="908" spans="1:30" s="37" customFormat="1" ht="15.75" customHeight="1" x14ac:dyDescent="0.2">
      <c r="A908" s="26">
        <v>2619</v>
      </c>
      <c r="B908" s="27" t="s">
        <v>1070</v>
      </c>
      <c r="C908" s="27" t="s">
        <v>38</v>
      </c>
      <c r="D908" s="28">
        <v>0.05</v>
      </c>
      <c r="E908" s="29">
        <v>4.84</v>
      </c>
      <c r="F908" s="29">
        <v>0.71</v>
      </c>
      <c r="G908" s="30" t="s">
        <v>87</v>
      </c>
      <c r="H908" s="27" t="s">
        <v>94</v>
      </c>
      <c r="I908" s="27" t="s">
        <v>49</v>
      </c>
      <c r="J908" s="27" t="s">
        <v>50</v>
      </c>
      <c r="K908" s="27" t="s">
        <v>51</v>
      </c>
      <c r="L908" s="31" t="s">
        <v>52</v>
      </c>
      <c r="M908" s="32">
        <v>0.52</v>
      </c>
      <c r="N908" s="27" t="s">
        <v>33</v>
      </c>
      <c r="O908" s="27" t="s">
        <v>53</v>
      </c>
      <c r="P908" s="27" t="s">
        <v>1071</v>
      </c>
      <c r="Q908" s="27" t="s">
        <v>1072</v>
      </c>
      <c r="R908" s="33">
        <v>57103</v>
      </c>
      <c r="S908" s="34">
        <v>42086</v>
      </c>
      <c r="T908" s="34">
        <v>42086</v>
      </c>
      <c r="U908" s="29">
        <v>17.836500000000001</v>
      </c>
      <c r="V908" s="26">
        <v>5</v>
      </c>
      <c r="W908" s="29">
        <v>25.85</v>
      </c>
      <c r="X908" s="26">
        <v>88014</v>
      </c>
      <c r="Y908" s="35">
        <v>9.7099999999999991</v>
      </c>
      <c r="Z908" s="1" t="s">
        <v>3012</v>
      </c>
      <c r="AA908" s="36">
        <v>1.21</v>
      </c>
      <c r="AB908" s="54">
        <v>12.407999999999999</v>
      </c>
      <c r="AC908" s="54">
        <v>2.6884000000000001</v>
      </c>
      <c r="AD908" s="36">
        <v>6.0934999999999988</v>
      </c>
    </row>
    <row r="909" spans="1:30" s="37" customFormat="1" ht="15.75" customHeight="1" x14ac:dyDescent="0.2">
      <c r="A909" s="26">
        <v>1368</v>
      </c>
      <c r="B909" s="27" t="s">
        <v>1806</v>
      </c>
      <c r="C909" s="27" t="s">
        <v>116</v>
      </c>
      <c r="D909" s="28">
        <v>0.09</v>
      </c>
      <c r="E909" s="29">
        <v>4.55</v>
      </c>
      <c r="F909" s="29">
        <v>1.49</v>
      </c>
      <c r="G909" s="30" t="s">
        <v>39</v>
      </c>
      <c r="H909" s="27" t="s">
        <v>40</v>
      </c>
      <c r="I909" s="27" t="s">
        <v>49</v>
      </c>
      <c r="J909" s="27" t="s">
        <v>72</v>
      </c>
      <c r="K909" s="27" t="s">
        <v>73</v>
      </c>
      <c r="L909" s="31" t="s">
        <v>1503</v>
      </c>
      <c r="M909" s="32">
        <v>0.35</v>
      </c>
      <c r="N909" s="27" t="s">
        <v>33</v>
      </c>
      <c r="O909" s="27" t="s">
        <v>53</v>
      </c>
      <c r="P909" s="27" t="s">
        <v>187</v>
      </c>
      <c r="Q909" s="27" t="s">
        <v>1807</v>
      </c>
      <c r="R909" s="33">
        <v>75901</v>
      </c>
      <c r="S909" s="34">
        <v>42086</v>
      </c>
      <c r="T909" s="34">
        <v>42088</v>
      </c>
      <c r="U909" s="29">
        <v>16.898</v>
      </c>
      <c r="V909" s="26">
        <v>6</v>
      </c>
      <c r="W909" s="29">
        <v>25.45</v>
      </c>
      <c r="X909" s="26">
        <v>90514</v>
      </c>
      <c r="Y909" s="35">
        <v>60.93</v>
      </c>
      <c r="Z909" s="1" t="s">
        <v>3012</v>
      </c>
      <c r="AA909" s="36">
        <v>2.4569999999999999</v>
      </c>
      <c r="AB909" s="54">
        <v>16.5425</v>
      </c>
      <c r="AC909" s="54">
        <v>1.4845833333333331</v>
      </c>
      <c r="AD909" s="36">
        <v>4.6050000000000004</v>
      </c>
    </row>
    <row r="910" spans="1:30" s="37" customFormat="1" ht="15.75" customHeight="1" x14ac:dyDescent="0.2">
      <c r="A910" s="26">
        <v>3381</v>
      </c>
      <c r="B910" s="27" t="s">
        <v>1811</v>
      </c>
      <c r="C910" s="27" t="s">
        <v>3094</v>
      </c>
      <c r="D910" s="28">
        <v>0.05</v>
      </c>
      <c r="E910" s="29">
        <v>11.97</v>
      </c>
      <c r="F910" s="29">
        <v>5.81</v>
      </c>
      <c r="G910" s="30" t="s">
        <v>39</v>
      </c>
      <c r="H910" s="27" t="s">
        <v>94</v>
      </c>
      <c r="I910" s="27" t="s">
        <v>49</v>
      </c>
      <c r="J910" s="27" t="s">
        <v>50</v>
      </c>
      <c r="K910" s="27" t="s">
        <v>43</v>
      </c>
      <c r="L910" s="31" t="s">
        <v>1812</v>
      </c>
      <c r="M910" s="32">
        <v>0.6</v>
      </c>
      <c r="N910" s="27" t="s">
        <v>33</v>
      </c>
      <c r="O910" s="27" t="s">
        <v>34</v>
      </c>
      <c r="P910" s="27" t="s">
        <v>75</v>
      </c>
      <c r="Q910" s="27" t="s">
        <v>1813</v>
      </c>
      <c r="R910" s="33">
        <v>31204</v>
      </c>
      <c r="S910" s="34">
        <v>42086</v>
      </c>
      <c r="T910" s="34">
        <v>42088</v>
      </c>
      <c r="U910" s="29">
        <v>349.05930000000001</v>
      </c>
      <c r="V910" s="26">
        <v>2</v>
      </c>
      <c r="W910" s="29">
        <v>25.31</v>
      </c>
      <c r="X910" s="26">
        <v>88836</v>
      </c>
      <c r="Y910" s="35">
        <v>11.92</v>
      </c>
      <c r="Z910" s="1" t="s">
        <v>3011</v>
      </c>
      <c r="AA910" s="36">
        <v>1.1970000000000001</v>
      </c>
      <c r="AB910" s="54">
        <v>10.124000000000001</v>
      </c>
      <c r="AC910" s="54">
        <v>7.5929999999999991</v>
      </c>
      <c r="AD910" s="36">
        <v>-330.75630000000001</v>
      </c>
    </row>
    <row r="911" spans="1:30" s="37" customFormat="1" ht="15.75" customHeight="1" x14ac:dyDescent="0.2">
      <c r="A911" s="26">
        <v>1060</v>
      </c>
      <c r="B911" s="27" t="s">
        <v>1825</v>
      </c>
      <c r="C911" s="27" t="s">
        <v>116</v>
      </c>
      <c r="D911" s="28">
        <v>0.09</v>
      </c>
      <c r="E911" s="29">
        <v>138.75</v>
      </c>
      <c r="F911" s="29">
        <v>52.42</v>
      </c>
      <c r="G911" s="30" t="s">
        <v>27</v>
      </c>
      <c r="H911" s="27" t="s">
        <v>3095</v>
      </c>
      <c r="I911" s="27" t="s">
        <v>29</v>
      </c>
      <c r="J911" s="27" t="s">
        <v>30</v>
      </c>
      <c r="K911" s="27" t="s">
        <v>31</v>
      </c>
      <c r="L911" s="31" t="s">
        <v>1826</v>
      </c>
      <c r="M911" s="32">
        <v>0.74</v>
      </c>
      <c r="N911" s="27" t="s">
        <v>33</v>
      </c>
      <c r="O911" s="27" t="s">
        <v>34</v>
      </c>
      <c r="P911" s="27" t="s">
        <v>75</v>
      </c>
      <c r="Q911" s="27" t="s">
        <v>361</v>
      </c>
      <c r="R911" s="33">
        <v>30318</v>
      </c>
      <c r="S911" s="34">
        <v>42087</v>
      </c>
      <c r="T911" s="34">
        <v>42088</v>
      </c>
      <c r="U911" s="29">
        <v>-445.97177625</v>
      </c>
      <c r="V911" s="26">
        <v>23</v>
      </c>
      <c r="W911" s="29">
        <v>2527.79</v>
      </c>
      <c r="X911" s="26">
        <v>58628</v>
      </c>
      <c r="Y911" s="35">
        <v>17.920000000000002</v>
      </c>
      <c r="Z911" s="1" t="s">
        <v>3011</v>
      </c>
      <c r="AA911" s="36">
        <v>287.21249999999998</v>
      </c>
      <c r="AB911" s="54">
        <v>657.22540000000004</v>
      </c>
      <c r="AC911" s="54">
        <v>81.328895652173912</v>
      </c>
      <c r="AD911" s="36">
        <v>2634.1292762499997</v>
      </c>
    </row>
    <row r="912" spans="1:30" s="37" customFormat="1" ht="15.75" customHeight="1" x14ac:dyDescent="0.2">
      <c r="A912" s="26">
        <v>2308</v>
      </c>
      <c r="B912" s="27" t="s">
        <v>1823</v>
      </c>
      <c r="C912" s="27" t="s">
        <v>48</v>
      </c>
      <c r="D912" s="28">
        <v>0.03</v>
      </c>
      <c r="E912" s="29">
        <v>193.17</v>
      </c>
      <c r="F912" s="29">
        <v>19.989999999999998</v>
      </c>
      <c r="G912" s="30" t="s">
        <v>39</v>
      </c>
      <c r="H912" s="27" t="s">
        <v>3095</v>
      </c>
      <c r="I912" s="27" t="s">
        <v>49</v>
      </c>
      <c r="J912" s="27" t="s">
        <v>78</v>
      </c>
      <c r="K912" s="27" t="s">
        <v>73</v>
      </c>
      <c r="L912" s="31" t="s">
        <v>1582</v>
      </c>
      <c r="M912" s="32">
        <v>0.71</v>
      </c>
      <c r="N912" s="27" t="s">
        <v>33</v>
      </c>
      <c r="O912" s="27" t="s">
        <v>34</v>
      </c>
      <c r="P912" s="27" t="s">
        <v>123</v>
      </c>
      <c r="Q912" s="27" t="s">
        <v>1824</v>
      </c>
      <c r="R912" s="33">
        <v>33971</v>
      </c>
      <c r="S912" s="34">
        <v>42087</v>
      </c>
      <c r="T912" s="34">
        <v>42091</v>
      </c>
      <c r="U912" s="29">
        <v>-348.75400000000002</v>
      </c>
      <c r="V912" s="26">
        <v>8</v>
      </c>
      <c r="W912" s="29">
        <v>1548.97</v>
      </c>
      <c r="X912" s="26">
        <v>90557</v>
      </c>
      <c r="Y912" s="35">
        <v>6.54</v>
      </c>
      <c r="Z912" s="1" t="s">
        <v>3011</v>
      </c>
      <c r="AA912" s="36">
        <v>46.360799999999998</v>
      </c>
      <c r="AB912" s="54">
        <v>449.20130000000006</v>
      </c>
      <c r="AC912" s="54">
        <v>137.47108749999998</v>
      </c>
      <c r="AD912" s="36">
        <v>1831.3732</v>
      </c>
    </row>
    <row r="913" spans="1:30" s="37" customFormat="1" ht="15.75" customHeight="1" x14ac:dyDescent="0.2">
      <c r="A913" s="26">
        <v>2256</v>
      </c>
      <c r="B913" s="27" t="s">
        <v>93</v>
      </c>
      <c r="C913" s="27" t="s">
        <v>116</v>
      </c>
      <c r="D913" s="28">
        <v>7.0000000000000007E-2</v>
      </c>
      <c r="E913" s="29">
        <v>70.98</v>
      </c>
      <c r="F913" s="29">
        <v>30</v>
      </c>
      <c r="G913" s="30" t="s">
        <v>27</v>
      </c>
      <c r="H913" s="27" t="s">
        <v>94</v>
      </c>
      <c r="I913" s="27" t="s">
        <v>29</v>
      </c>
      <c r="J913" s="27" t="s">
        <v>109</v>
      </c>
      <c r="K913" s="27" t="s">
        <v>58</v>
      </c>
      <c r="L913" s="31" t="s">
        <v>1830</v>
      </c>
      <c r="M913" s="32">
        <v>0.73</v>
      </c>
      <c r="N913" s="27" t="s">
        <v>33</v>
      </c>
      <c r="O913" s="27" t="s">
        <v>34</v>
      </c>
      <c r="P913" s="27" t="s">
        <v>97</v>
      </c>
      <c r="Q913" s="27" t="s">
        <v>98</v>
      </c>
      <c r="R913" s="33">
        <v>28560</v>
      </c>
      <c r="S913" s="34">
        <v>42087</v>
      </c>
      <c r="T913" s="34">
        <v>42089</v>
      </c>
      <c r="U913" s="29">
        <v>-222.95</v>
      </c>
      <c r="V913" s="26">
        <v>20</v>
      </c>
      <c r="W913" s="29">
        <v>1373.47</v>
      </c>
      <c r="X913" s="26">
        <v>87964</v>
      </c>
      <c r="Y913" s="35">
        <v>90.43</v>
      </c>
      <c r="Z913" s="1" t="s">
        <v>3011</v>
      </c>
      <c r="AA913" s="36">
        <v>99.372000000000014</v>
      </c>
      <c r="AB913" s="54">
        <v>370.83690000000001</v>
      </c>
      <c r="AC913" s="54">
        <v>50.131655000000002</v>
      </c>
      <c r="AD913" s="36">
        <v>1467.048</v>
      </c>
    </row>
    <row r="914" spans="1:30" s="37" customFormat="1" ht="15.75" customHeight="1" x14ac:dyDescent="0.2">
      <c r="A914" s="26">
        <v>1062</v>
      </c>
      <c r="B914" s="27" t="s">
        <v>1827</v>
      </c>
      <c r="C914" s="27" t="s">
        <v>116</v>
      </c>
      <c r="D914" s="28">
        <v>0.09</v>
      </c>
      <c r="E914" s="29">
        <v>138.75</v>
      </c>
      <c r="F914" s="29">
        <v>52.42</v>
      </c>
      <c r="G914" s="30" t="s">
        <v>27</v>
      </c>
      <c r="H914" s="27" t="s">
        <v>3095</v>
      </c>
      <c r="I914" s="27" t="s">
        <v>29</v>
      </c>
      <c r="J914" s="27" t="s">
        <v>30</v>
      </c>
      <c r="K914" s="27" t="s">
        <v>31</v>
      </c>
      <c r="L914" s="31" t="s">
        <v>1826</v>
      </c>
      <c r="M914" s="32">
        <v>0.74</v>
      </c>
      <c r="N914" s="27" t="s">
        <v>33</v>
      </c>
      <c r="O914" s="27" t="s">
        <v>111</v>
      </c>
      <c r="P914" s="27" t="s">
        <v>112</v>
      </c>
      <c r="Q914" s="27" t="s">
        <v>1828</v>
      </c>
      <c r="R914" s="33">
        <v>11727</v>
      </c>
      <c r="S914" s="34">
        <v>42087</v>
      </c>
      <c r="T914" s="34">
        <v>42088</v>
      </c>
      <c r="U914" s="29">
        <v>-335.31712499999998</v>
      </c>
      <c r="V914" s="26">
        <v>6</v>
      </c>
      <c r="W914" s="29">
        <v>659.42</v>
      </c>
      <c r="X914" s="26">
        <v>91354</v>
      </c>
      <c r="Y914" s="35">
        <v>48.91</v>
      </c>
      <c r="Z914" s="1" t="s">
        <v>3014</v>
      </c>
      <c r="AA914" s="36">
        <v>74.924999999999997</v>
      </c>
      <c r="AB914" s="54">
        <v>171.44919999999999</v>
      </c>
      <c r="AC914" s="54">
        <v>81.328466666666657</v>
      </c>
      <c r="AD914" s="36">
        <v>867.39212499999985</v>
      </c>
    </row>
    <row r="915" spans="1:30" s="37" customFormat="1" ht="15.75" customHeight="1" x14ac:dyDescent="0.2">
      <c r="A915" s="26">
        <v>1689</v>
      </c>
      <c r="B915" s="27" t="s">
        <v>1820</v>
      </c>
      <c r="C915" s="27" t="s">
        <v>38</v>
      </c>
      <c r="D915" s="28">
        <v>0</v>
      </c>
      <c r="E915" s="29">
        <v>48.91</v>
      </c>
      <c r="F915" s="29">
        <v>35</v>
      </c>
      <c r="G915" s="30" t="s">
        <v>39</v>
      </c>
      <c r="H915" s="27" t="s">
        <v>94</v>
      </c>
      <c r="I915" s="27" t="s">
        <v>49</v>
      </c>
      <c r="J915" s="27" t="s">
        <v>78</v>
      </c>
      <c r="K915" s="27" t="s">
        <v>65</v>
      </c>
      <c r="L915" s="31" t="s">
        <v>1821</v>
      </c>
      <c r="M915" s="32">
        <v>0.83</v>
      </c>
      <c r="N915" s="27" t="s">
        <v>33</v>
      </c>
      <c r="O915" s="27" t="s">
        <v>53</v>
      </c>
      <c r="P915" s="27" t="s">
        <v>54</v>
      </c>
      <c r="Q915" s="27" t="s">
        <v>1822</v>
      </c>
      <c r="R915" s="33">
        <v>46322</v>
      </c>
      <c r="S915" s="34">
        <v>42087</v>
      </c>
      <c r="T915" s="34">
        <v>42088</v>
      </c>
      <c r="U915" s="29">
        <v>-628.38</v>
      </c>
      <c r="V915" s="26">
        <v>10</v>
      </c>
      <c r="W915" s="29">
        <v>514.79</v>
      </c>
      <c r="X915" s="26">
        <v>91077</v>
      </c>
      <c r="Y915" s="35">
        <v>9.4</v>
      </c>
      <c r="Z915" s="1" t="s">
        <v>3012</v>
      </c>
      <c r="AA915" s="36">
        <v>0</v>
      </c>
      <c r="AB915" s="54">
        <v>87.51430000000002</v>
      </c>
      <c r="AC915" s="54">
        <v>42.72757</v>
      </c>
      <c r="AD915" s="36">
        <v>1108.17</v>
      </c>
    </row>
    <row r="916" spans="1:30" s="37" customFormat="1" ht="15.75" customHeight="1" x14ac:dyDescent="0.2">
      <c r="A916" s="26">
        <v>3310</v>
      </c>
      <c r="B916" s="27" t="s">
        <v>1818</v>
      </c>
      <c r="C916" s="27" t="s">
        <v>26</v>
      </c>
      <c r="D916" s="28">
        <v>0.05</v>
      </c>
      <c r="E916" s="29">
        <v>90.48</v>
      </c>
      <c r="F916" s="29">
        <v>19.989999999999998</v>
      </c>
      <c r="G916" s="30" t="s">
        <v>39</v>
      </c>
      <c r="H916" s="27" t="s">
        <v>3095</v>
      </c>
      <c r="I916" s="27" t="s">
        <v>49</v>
      </c>
      <c r="J916" s="27" t="s">
        <v>345</v>
      </c>
      <c r="K916" s="27" t="s">
        <v>73</v>
      </c>
      <c r="L916" s="31" t="s">
        <v>502</v>
      </c>
      <c r="M916" s="32">
        <v>0.4</v>
      </c>
      <c r="N916" s="27" t="s">
        <v>33</v>
      </c>
      <c r="O916" s="27" t="s">
        <v>111</v>
      </c>
      <c r="P916" s="27" t="s">
        <v>403</v>
      </c>
      <c r="Q916" s="27" t="s">
        <v>1819</v>
      </c>
      <c r="R916" s="33">
        <v>2563</v>
      </c>
      <c r="S916" s="34">
        <v>42087</v>
      </c>
      <c r="T916" s="34">
        <v>42088</v>
      </c>
      <c r="U916" s="29">
        <v>255.1482</v>
      </c>
      <c r="V916" s="26">
        <v>4</v>
      </c>
      <c r="W916" s="29">
        <v>369.78</v>
      </c>
      <c r="X916" s="26">
        <v>90460</v>
      </c>
      <c r="Y916" s="35">
        <v>193.14</v>
      </c>
      <c r="Z916" s="1" t="s">
        <v>3014</v>
      </c>
      <c r="AA916" s="36">
        <v>18.096</v>
      </c>
      <c r="AB916" s="54">
        <v>221.86799999999997</v>
      </c>
      <c r="AC916" s="54">
        <v>36.978000000000002</v>
      </c>
      <c r="AD916" s="36">
        <v>76.545799999999986</v>
      </c>
    </row>
    <row r="917" spans="1:30" s="37" customFormat="1" ht="15.75" customHeight="1" x14ac:dyDescent="0.2">
      <c r="A917" s="26">
        <v>2430</v>
      </c>
      <c r="B917" s="27" t="s">
        <v>1837</v>
      </c>
      <c r="C917" s="27" t="s">
        <v>3094</v>
      </c>
      <c r="D917" s="28">
        <v>0.1</v>
      </c>
      <c r="E917" s="29">
        <v>14.28</v>
      </c>
      <c r="F917" s="29">
        <v>2.99</v>
      </c>
      <c r="G917" s="30" t="s">
        <v>39</v>
      </c>
      <c r="H917" s="27" t="s">
        <v>71</v>
      </c>
      <c r="I917" s="27" t="s">
        <v>49</v>
      </c>
      <c r="J917" s="27" t="s">
        <v>72</v>
      </c>
      <c r="K917" s="27" t="s">
        <v>73</v>
      </c>
      <c r="L917" s="31" t="s">
        <v>685</v>
      </c>
      <c r="M917" s="32">
        <v>0.39</v>
      </c>
      <c r="N917" s="27" t="s">
        <v>33</v>
      </c>
      <c r="O917" s="27" t="s">
        <v>53</v>
      </c>
      <c r="P917" s="27" t="s">
        <v>187</v>
      </c>
      <c r="Q917" s="27" t="s">
        <v>1838</v>
      </c>
      <c r="R917" s="33">
        <v>76541</v>
      </c>
      <c r="S917" s="34">
        <v>42087</v>
      </c>
      <c r="T917" s="34">
        <v>42088</v>
      </c>
      <c r="U917" s="29">
        <v>104.9145</v>
      </c>
      <c r="V917" s="26">
        <v>11</v>
      </c>
      <c r="W917" s="29">
        <v>152.05000000000001</v>
      </c>
      <c r="X917" s="26">
        <v>91108</v>
      </c>
      <c r="Y917" s="35">
        <v>138.66</v>
      </c>
      <c r="Z917" s="1" t="s">
        <v>3012</v>
      </c>
      <c r="AA917" s="36">
        <v>15.707999999999998</v>
      </c>
      <c r="AB917" s="54">
        <v>92.750500000000002</v>
      </c>
      <c r="AC917" s="54">
        <v>5.3908636363636369</v>
      </c>
      <c r="AD917" s="36">
        <v>28.437500000000014</v>
      </c>
    </row>
    <row r="918" spans="1:30" s="37" customFormat="1" ht="15.75" customHeight="1" x14ac:dyDescent="0.2">
      <c r="A918" s="26">
        <v>2330</v>
      </c>
      <c r="B918" s="27" t="s">
        <v>1831</v>
      </c>
      <c r="C918" s="27" t="s">
        <v>116</v>
      </c>
      <c r="D918" s="28">
        <v>0.06</v>
      </c>
      <c r="E918" s="29">
        <v>28.53</v>
      </c>
      <c r="F918" s="29">
        <v>1.49</v>
      </c>
      <c r="G918" s="30" t="s">
        <v>39</v>
      </c>
      <c r="H918" s="27" t="s">
        <v>71</v>
      </c>
      <c r="I918" s="27" t="s">
        <v>49</v>
      </c>
      <c r="J918" s="27" t="s">
        <v>72</v>
      </c>
      <c r="K918" s="27" t="s">
        <v>73</v>
      </c>
      <c r="L918" s="31" t="s">
        <v>1832</v>
      </c>
      <c r="M918" s="32">
        <v>0.38</v>
      </c>
      <c r="N918" s="27" t="s">
        <v>33</v>
      </c>
      <c r="O918" s="27" t="s">
        <v>53</v>
      </c>
      <c r="P918" s="27" t="s">
        <v>213</v>
      </c>
      <c r="Q918" s="27" t="s">
        <v>1833</v>
      </c>
      <c r="R918" s="33">
        <v>52302</v>
      </c>
      <c r="S918" s="34">
        <v>42087</v>
      </c>
      <c r="T918" s="34">
        <v>42090</v>
      </c>
      <c r="U918" s="29">
        <v>74.638499999999993</v>
      </c>
      <c r="V918" s="26">
        <v>5</v>
      </c>
      <c r="W918" s="29">
        <v>134.09</v>
      </c>
      <c r="X918" s="26">
        <v>90964</v>
      </c>
      <c r="Y918" s="35">
        <v>138.66</v>
      </c>
      <c r="Z918" s="1" t="s">
        <v>3012</v>
      </c>
      <c r="AA918" s="36">
        <v>8.5589999999999993</v>
      </c>
      <c r="AB918" s="54">
        <v>83.135800000000003</v>
      </c>
      <c r="AC918" s="54">
        <v>10.190840000000001</v>
      </c>
      <c r="AD918" s="36">
        <v>49.402500000000018</v>
      </c>
    </row>
    <row r="919" spans="1:30" s="37" customFormat="1" ht="15.75" customHeight="1" x14ac:dyDescent="0.2">
      <c r="A919" s="26">
        <v>618</v>
      </c>
      <c r="B919" s="27" t="s">
        <v>1814</v>
      </c>
      <c r="C919" s="27" t="s">
        <v>26</v>
      </c>
      <c r="D919" s="28">
        <v>0.06</v>
      </c>
      <c r="E919" s="29">
        <v>17.98</v>
      </c>
      <c r="F919" s="29">
        <v>4</v>
      </c>
      <c r="G919" s="30" t="s">
        <v>39</v>
      </c>
      <c r="H919" s="27" t="s">
        <v>40</v>
      </c>
      <c r="I919" s="27" t="s">
        <v>41</v>
      </c>
      <c r="J919" s="27" t="s">
        <v>42</v>
      </c>
      <c r="K919" s="27" t="s">
        <v>73</v>
      </c>
      <c r="L919" s="31" t="s">
        <v>1657</v>
      </c>
      <c r="M919" s="32">
        <v>0.79</v>
      </c>
      <c r="N919" s="27" t="s">
        <v>33</v>
      </c>
      <c r="O919" s="27" t="s">
        <v>60</v>
      </c>
      <c r="P919" s="27" t="s">
        <v>61</v>
      </c>
      <c r="Q919" s="27" t="s">
        <v>1815</v>
      </c>
      <c r="R919" s="33">
        <v>81007</v>
      </c>
      <c r="S919" s="34">
        <v>42087</v>
      </c>
      <c r="T919" s="34">
        <v>42088</v>
      </c>
      <c r="U919" s="29">
        <v>-78.13</v>
      </c>
      <c r="V919" s="26">
        <v>4</v>
      </c>
      <c r="W919" s="29">
        <v>70.06</v>
      </c>
      <c r="X919" s="26">
        <v>88197</v>
      </c>
      <c r="Y919" s="35">
        <v>3.89</v>
      </c>
      <c r="Z919" s="1" t="s">
        <v>3013</v>
      </c>
      <c r="AA919" s="36">
        <v>4.3151999999999999</v>
      </c>
      <c r="AB919" s="54">
        <v>14.712599999999998</v>
      </c>
      <c r="AC919" s="54">
        <v>13.836850000000002</v>
      </c>
      <c r="AD919" s="36">
        <v>139.87479999999999</v>
      </c>
    </row>
    <row r="920" spans="1:30" s="37" customFormat="1" ht="15.75" customHeight="1" x14ac:dyDescent="0.2">
      <c r="A920" s="26">
        <v>3143</v>
      </c>
      <c r="B920" s="27" t="s">
        <v>1834</v>
      </c>
      <c r="C920" s="27" t="s">
        <v>116</v>
      </c>
      <c r="D920" s="28">
        <v>0.02</v>
      </c>
      <c r="E920" s="29">
        <v>15.42</v>
      </c>
      <c r="F920" s="29">
        <v>5.41</v>
      </c>
      <c r="G920" s="30" t="s">
        <v>39</v>
      </c>
      <c r="H920" s="27" t="s">
        <v>40</v>
      </c>
      <c r="I920" s="27" t="s">
        <v>49</v>
      </c>
      <c r="J920" s="27" t="s">
        <v>78</v>
      </c>
      <c r="K920" s="27" t="s">
        <v>73</v>
      </c>
      <c r="L920" s="31" t="s">
        <v>1835</v>
      </c>
      <c r="M920" s="32">
        <v>0.59</v>
      </c>
      <c r="N920" s="27" t="s">
        <v>33</v>
      </c>
      <c r="O920" s="27" t="s">
        <v>53</v>
      </c>
      <c r="P920" s="27" t="s">
        <v>187</v>
      </c>
      <c r="Q920" s="27" t="s">
        <v>1836</v>
      </c>
      <c r="R920" s="33">
        <v>78660</v>
      </c>
      <c r="S920" s="34">
        <v>42087</v>
      </c>
      <c r="T920" s="34">
        <v>42088</v>
      </c>
      <c r="U920" s="29">
        <v>-16.37</v>
      </c>
      <c r="V920" s="26">
        <v>2</v>
      </c>
      <c r="W920" s="29">
        <v>33.840000000000003</v>
      </c>
      <c r="X920" s="26">
        <v>86368</v>
      </c>
      <c r="Y920" s="35">
        <v>70.910000000000011</v>
      </c>
      <c r="Z920" s="1" t="s">
        <v>3012</v>
      </c>
      <c r="AA920" s="36">
        <v>0.61680000000000001</v>
      </c>
      <c r="AB920" s="54">
        <v>13.874400000000003</v>
      </c>
      <c r="AC920" s="54">
        <v>9.982800000000001</v>
      </c>
      <c r="AD920" s="36">
        <v>44.183200000000006</v>
      </c>
    </row>
    <row r="921" spans="1:30" s="37" customFormat="1" ht="15.75" customHeight="1" x14ac:dyDescent="0.2">
      <c r="A921" s="26">
        <v>3309</v>
      </c>
      <c r="B921" s="27" t="s">
        <v>1816</v>
      </c>
      <c r="C921" s="27" t="s">
        <v>26</v>
      </c>
      <c r="D921" s="28">
        <v>0.1</v>
      </c>
      <c r="E921" s="29">
        <v>6.64</v>
      </c>
      <c r="F921" s="29">
        <v>54.95</v>
      </c>
      <c r="G921" s="30" t="s">
        <v>39</v>
      </c>
      <c r="H921" s="27" t="s">
        <v>3095</v>
      </c>
      <c r="I921" s="27" t="s">
        <v>29</v>
      </c>
      <c r="J921" s="27" t="s">
        <v>126</v>
      </c>
      <c r="K921" s="27" t="s">
        <v>43</v>
      </c>
      <c r="L921" s="31" t="s">
        <v>268</v>
      </c>
      <c r="M921" s="32">
        <v>0.37</v>
      </c>
      <c r="N921" s="27" t="s">
        <v>33</v>
      </c>
      <c r="O921" s="27" t="s">
        <v>111</v>
      </c>
      <c r="P921" s="27" t="s">
        <v>403</v>
      </c>
      <c r="Q921" s="27" t="s">
        <v>1817</v>
      </c>
      <c r="R921" s="33">
        <v>1760</v>
      </c>
      <c r="S921" s="34">
        <v>42087</v>
      </c>
      <c r="T921" s="34">
        <v>42089</v>
      </c>
      <c r="U921" s="29">
        <v>-25</v>
      </c>
      <c r="V921" s="26">
        <v>4</v>
      </c>
      <c r="W921" s="29">
        <v>25.31</v>
      </c>
      <c r="X921" s="26">
        <v>90460</v>
      </c>
      <c r="Y921" s="35">
        <v>28.470000000000002</v>
      </c>
      <c r="Z921" s="1" t="s">
        <v>3014</v>
      </c>
      <c r="AA921" s="36">
        <v>2.6560000000000001</v>
      </c>
      <c r="AB921" s="54">
        <v>15.9453</v>
      </c>
      <c r="AC921" s="54">
        <v>2.3411749999999998</v>
      </c>
      <c r="AD921" s="36">
        <v>-7.2960000000000029</v>
      </c>
    </row>
    <row r="922" spans="1:30" s="37" customFormat="1" ht="15.75" customHeight="1" x14ac:dyDescent="0.2">
      <c r="A922" s="26">
        <v>2308</v>
      </c>
      <c r="B922" s="27" t="s">
        <v>1823</v>
      </c>
      <c r="C922" s="27" t="s">
        <v>48</v>
      </c>
      <c r="D922" s="28">
        <v>0.08</v>
      </c>
      <c r="E922" s="29">
        <v>9.48</v>
      </c>
      <c r="F922" s="29">
        <v>7.29</v>
      </c>
      <c r="G922" s="30" t="s">
        <v>39</v>
      </c>
      <c r="H922" s="27" t="s">
        <v>3095</v>
      </c>
      <c r="I922" s="27" t="s">
        <v>29</v>
      </c>
      <c r="J922" s="27" t="s">
        <v>126</v>
      </c>
      <c r="K922" s="27" t="s">
        <v>43</v>
      </c>
      <c r="L922" s="31" t="s">
        <v>504</v>
      </c>
      <c r="M922" s="32">
        <v>0.45</v>
      </c>
      <c r="N922" s="27" t="s">
        <v>33</v>
      </c>
      <c r="O922" s="27" t="s">
        <v>34</v>
      </c>
      <c r="P922" s="27" t="s">
        <v>123</v>
      </c>
      <c r="Q922" s="27" t="s">
        <v>1824</v>
      </c>
      <c r="R922" s="33">
        <v>33971</v>
      </c>
      <c r="S922" s="34">
        <v>42087</v>
      </c>
      <c r="T922" s="34">
        <v>42089</v>
      </c>
      <c r="U922" s="29">
        <v>-50.4</v>
      </c>
      <c r="V922" s="26">
        <v>2</v>
      </c>
      <c r="W922" s="29">
        <v>20.22</v>
      </c>
      <c r="X922" s="26">
        <v>90557</v>
      </c>
      <c r="Y922" s="35">
        <v>15.4</v>
      </c>
      <c r="Z922" s="1" t="s">
        <v>3011</v>
      </c>
      <c r="AA922" s="36">
        <v>1.5168000000000001</v>
      </c>
      <c r="AB922" s="54">
        <v>11.121</v>
      </c>
      <c r="AC922" s="54">
        <v>4.5495000000000001</v>
      </c>
      <c r="AD922" s="36">
        <v>61.813199999999995</v>
      </c>
    </row>
    <row r="923" spans="1:30" s="37" customFormat="1" ht="15.75" customHeight="1" x14ac:dyDescent="0.2">
      <c r="A923" s="26">
        <v>1254</v>
      </c>
      <c r="B923" s="27" t="s">
        <v>1590</v>
      </c>
      <c r="C923" s="27" t="s">
        <v>116</v>
      </c>
      <c r="D923" s="28">
        <v>0.06</v>
      </c>
      <c r="E923" s="29">
        <v>3.95</v>
      </c>
      <c r="F923" s="29">
        <v>2</v>
      </c>
      <c r="G923" s="30" t="s">
        <v>39</v>
      </c>
      <c r="H923" s="27" t="s">
        <v>71</v>
      </c>
      <c r="I923" s="27" t="s">
        <v>49</v>
      </c>
      <c r="J923" s="27" t="s">
        <v>176</v>
      </c>
      <c r="K923" s="27" t="s">
        <v>51</v>
      </c>
      <c r="L923" s="31" t="s">
        <v>1829</v>
      </c>
      <c r="M923" s="32">
        <v>0.53</v>
      </c>
      <c r="N923" s="27" t="s">
        <v>33</v>
      </c>
      <c r="O923" s="27" t="s">
        <v>53</v>
      </c>
      <c r="P923" s="27" t="s">
        <v>187</v>
      </c>
      <c r="Q923" s="27" t="s">
        <v>1591</v>
      </c>
      <c r="R923" s="33">
        <v>77530</v>
      </c>
      <c r="S923" s="34">
        <v>42087</v>
      </c>
      <c r="T923" s="34">
        <v>42088</v>
      </c>
      <c r="U923" s="29">
        <v>-9.68</v>
      </c>
      <c r="V923" s="26">
        <v>5</v>
      </c>
      <c r="W923" s="29">
        <v>19.66</v>
      </c>
      <c r="X923" s="26">
        <v>89984</v>
      </c>
      <c r="Y923" s="35">
        <v>14.18</v>
      </c>
      <c r="Z923" s="1" t="s">
        <v>3012</v>
      </c>
      <c r="AA923" s="36">
        <v>1.1850000000000001</v>
      </c>
      <c r="AB923" s="54">
        <v>9.2401999999999997</v>
      </c>
      <c r="AC923" s="54">
        <v>2.0839600000000003</v>
      </c>
      <c r="AD923" s="36">
        <v>26.155000000000001</v>
      </c>
    </row>
    <row r="924" spans="1:30" s="37" customFormat="1" ht="15.75" customHeight="1" x14ac:dyDescent="0.2">
      <c r="A924" s="26">
        <v>693</v>
      </c>
      <c r="B924" s="27" t="s">
        <v>1549</v>
      </c>
      <c r="C924" s="27" t="s">
        <v>48</v>
      </c>
      <c r="D924" s="28">
        <v>0.02</v>
      </c>
      <c r="E924" s="29">
        <v>500.98</v>
      </c>
      <c r="F924" s="29">
        <v>41.44</v>
      </c>
      <c r="G924" s="30" t="s">
        <v>27</v>
      </c>
      <c r="H924" s="27" t="s">
        <v>3095</v>
      </c>
      <c r="I924" s="27" t="s">
        <v>29</v>
      </c>
      <c r="J924" s="27" t="s">
        <v>117</v>
      </c>
      <c r="K924" s="27" t="s">
        <v>31</v>
      </c>
      <c r="L924" s="31" t="s">
        <v>1851</v>
      </c>
      <c r="M924" s="32">
        <v>0.66</v>
      </c>
      <c r="N924" s="27" t="s">
        <v>33</v>
      </c>
      <c r="O924" s="27" t="s">
        <v>60</v>
      </c>
      <c r="P924" s="27" t="s">
        <v>61</v>
      </c>
      <c r="Q924" s="27" t="s">
        <v>1550</v>
      </c>
      <c r="R924" s="33">
        <v>80229</v>
      </c>
      <c r="S924" s="34">
        <v>42088</v>
      </c>
      <c r="T924" s="34">
        <v>42088</v>
      </c>
      <c r="U924" s="29">
        <v>2568.4629</v>
      </c>
      <c r="V924" s="26">
        <v>7</v>
      </c>
      <c r="W924" s="29">
        <v>3722.41</v>
      </c>
      <c r="X924" s="26">
        <v>87811</v>
      </c>
      <c r="Y924" s="35">
        <v>5.6099999999999994</v>
      </c>
      <c r="Z924" s="1" t="s">
        <v>3013</v>
      </c>
      <c r="AA924" s="36">
        <v>70.137200000000007</v>
      </c>
      <c r="AB924" s="54">
        <v>1265.6193999999998</v>
      </c>
      <c r="AC924" s="54">
        <v>350.97008571428569</v>
      </c>
      <c r="AD924" s="36">
        <v>1042.3698999999997</v>
      </c>
    </row>
    <row r="925" spans="1:30" s="37" customFormat="1" ht="15.75" customHeight="1" x14ac:dyDescent="0.2">
      <c r="A925" s="26">
        <v>1241</v>
      </c>
      <c r="B925" s="27" t="s">
        <v>1684</v>
      </c>
      <c r="C925" s="27" t="s">
        <v>26</v>
      </c>
      <c r="D925" s="28">
        <v>0.06</v>
      </c>
      <c r="E925" s="29">
        <v>200.97</v>
      </c>
      <c r="F925" s="29">
        <v>15.59</v>
      </c>
      <c r="G925" s="30" t="s">
        <v>27</v>
      </c>
      <c r="H925" s="27" t="s">
        <v>3095</v>
      </c>
      <c r="I925" s="27" t="s">
        <v>41</v>
      </c>
      <c r="J925" s="27" t="s">
        <v>57</v>
      </c>
      <c r="K925" s="27" t="s">
        <v>58</v>
      </c>
      <c r="L925" s="31" t="s">
        <v>940</v>
      </c>
      <c r="M925" s="32">
        <v>0.36</v>
      </c>
      <c r="N925" s="27" t="s">
        <v>33</v>
      </c>
      <c r="O925" s="27" t="s">
        <v>34</v>
      </c>
      <c r="P925" s="27" t="s">
        <v>164</v>
      </c>
      <c r="Q925" s="27" t="s">
        <v>1204</v>
      </c>
      <c r="R925" s="33">
        <v>36830</v>
      </c>
      <c r="S925" s="34">
        <v>42088</v>
      </c>
      <c r="T925" s="34">
        <v>42088</v>
      </c>
      <c r="U925" s="29">
        <v>531.61800000000005</v>
      </c>
      <c r="V925" s="26">
        <v>7</v>
      </c>
      <c r="W925" s="29">
        <v>1348.83</v>
      </c>
      <c r="X925" s="26">
        <v>90881</v>
      </c>
      <c r="Y925" s="35">
        <v>22.78</v>
      </c>
      <c r="Z925" s="1" t="s">
        <v>3011</v>
      </c>
      <c r="AA925" s="36">
        <v>84.407399999999996</v>
      </c>
      <c r="AB925" s="54">
        <v>863.25119999999993</v>
      </c>
      <c r="AC925" s="54">
        <v>69.368399999999994</v>
      </c>
      <c r="AD925" s="36">
        <v>717.21459999999979</v>
      </c>
    </row>
    <row r="926" spans="1:30" s="37" customFormat="1" ht="15.75" customHeight="1" x14ac:dyDescent="0.2">
      <c r="A926" s="26">
        <v>1557</v>
      </c>
      <c r="B926" s="27" t="s">
        <v>1852</v>
      </c>
      <c r="C926" s="27" t="s">
        <v>48</v>
      </c>
      <c r="D926" s="28">
        <v>0.09</v>
      </c>
      <c r="E926" s="29">
        <v>60.98</v>
      </c>
      <c r="F926" s="29">
        <v>49</v>
      </c>
      <c r="G926" s="30" t="s">
        <v>39</v>
      </c>
      <c r="H926" s="27" t="s">
        <v>40</v>
      </c>
      <c r="I926" s="27" t="s">
        <v>49</v>
      </c>
      <c r="J926" s="27" t="s">
        <v>95</v>
      </c>
      <c r="K926" s="27" t="s">
        <v>65</v>
      </c>
      <c r="L926" s="31" t="s">
        <v>1530</v>
      </c>
      <c r="M926" s="32">
        <v>0.59</v>
      </c>
      <c r="N926" s="27" t="s">
        <v>33</v>
      </c>
      <c r="O926" s="27" t="s">
        <v>34</v>
      </c>
      <c r="P926" s="27" t="s">
        <v>242</v>
      </c>
      <c r="Q926" s="27" t="s">
        <v>1853</v>
      </c>
      <c r="R926" s="33">
        <v>22003</v>
      </c>
      <c r="S926" s="34">
        <v>42088</v>
      </c>
      <c r="T926" s="34">
        <v>42096</v>
      </c>
      <c r="U926" s="29">
        <v>-954.75800000000004</v>
      </c>
      <c r="V926" s="26">
        <v>15</v>
      </c>
      <c r="W926" s="29">
        <v>879.62</v>
      </c>
      <c r="X926" s="26">
        <v>87426</v>
      </c>
      <c r="Y926" s="35">
        <v>200.91</v>
      </c>
      <c r="Z926" s="1" t="s">
        <v>3011</v>
      </c>
      <c r="AA926" s="36">
        <v>82.322999999999979</v>
      </c>
      <c r="AB926" s="54">
        <v>360.64420000000001</v>
      </c>
      <c r="AC926" s="54">
        <v>34.598386666666663</v>
      </c>
      <c r="AD926" s="36">
        <v>1703.0550000000001</v>
      </c>
    </row>
    <row r="927" spans="1:30" s="37" customFormat="1" ht="15.75" customHeight="1" x14ac:dyDescent="0.2">
      <c r="A927" s="26">
        <v>2833</v>
      </c>
      <c r="B927" s="27" t="s">
        <v>1861</v>
      </c>
      <c r="C927" s="27" t="s">
        <v>3094</v>
      </c>
      <c r="D927" s="28">
        <v>0.08</v>
      </c>
      <c r="E927" s="29">
        <v>65.989999999999995</v>
      </c>
      <c r="F927" s="29">
        <v>8.99</v>
      </c>
      <c r="G927" s="30" t="s">
        <v>39</v>
      </c>
      <c r="H927" s="27" t="s">
        <v>3095</v>
      </c>
      <c r="I927" s="27" t="s">
        <v>41</v>
      </c>
      <c r="J927" s="27" t="s">
        <v>135</v>
      </c>
      <c r="K927" s="27" t="s">
        <v>73</v>
      </c>
      <c r="L927" s="31" t="s">
        <v>1864</v>
      </c>
      <c r="M927" s="32">
        <v>0.56000000000000005</v>
      </c>
      <c r="N927" s="27" t="s">
        <v>33</v>
      </c>
      <c r="O927" s="27" t="s">
        <v>53</v>
      </c>
      <c r="P927" s="27" t="s">
        <v>84</v>
      </c>
      <c r="Q927" s="27" t="s">
        <v>1863</v>
      </c>
      <c r="R927" s="33">
        <v>55076</v>
      </c>
      <c r="S927" s="34">
        <v>42088</v>
      </c>
      <c r="T927" s="34">
        <v>42089</v>
      </c>
      <c r="U927" s="29">
        <v>206.352</v>
      </c>
      <c r="V927" s="26">
        <v>15</v>
      </c>
      <c r="W927" s="29">
        <v>808.61</v>
      </c>
      <c r="X927" s="26">
        <v>91030</v>
      </c>
      <c r="Y927" s="35">
        <v>46.81</v>
      </c>
      <c r="Z927" s="1" t="s">
        <v>3012</v>
      </c>
      <c r="AA927" s="36">
        <v>79.187999999999988</v>
      </c>
      <c r="AB927" s="54">
        <v>355.78839999999997</v>
      </c>
      <c r="AC927" s="54">
        <v>30.18810666666667</v>
      </c>
      <c r="AD927" s="36">
        <v>514.08000000000004</v>
      </c>
    </row>
    <row r="928" spans="1:30" s="37" customFormat="1" ht="15.75" customHeight="1" x14ac:dyDescent="0.2">
      <c r="A928" s="26">
        <v>1648</v>
      </c>
      <c r="B928" s="27" t="s">
        <v>1842</v>
      </c>
      <c r="C928" s="27" t="s">
        <v>26</v>
      </c>
      <c r="D928" s="28">
        <v>0.08</v>
      </c>
      <c r="E928" s="29">
        <v>46.89</v>
      </c>
      <c r="F928" s="29">
        <v>5.0999999999999996</v>
      </c>
      <c r="G928" s="30" t="s">
        <v>39</v>
      </c>
      <c r="H928" s="27" t="s">
        <v>94</v>
      </c>
      <c r="I928" s="27" t="s">
        <v>49</v>
      </c>
      <c r="J928" s="27" t="s">
        <v>95</v>
      </c>
      <c r="K928" s="27" t="s">
        <v>144</v>
      </c>
      <c r="L928" s="31" t="s">
        <v>1843</v>
      </c>
      <c r="M928" s="32">
        <v>0.46</v>
      </c>
      <c r="N928" s="27" t="s">
        <v>33</v>
      </c>
      <c r="O928" s="27" t="s">
        <v>53</v>
      </c>
      <c r="P928" s="27" t="s">
        <v>103</v>
      </c>
      <c r="Q928" s="27" t="s">
        <v>664</v>
      </c>
      <c r="R928" s="33">
        <v>60098</v>
      </c>
      <c r="S928" s="34">
        <v>42088</v>
      </c>
      <c r="T928" s="34">
        <v>42090</v>
      </c>
      <c r="U928" s="29">
        <v>507.63299999999998</v>
      </c>
      <c r="V928" s="26">
        <v>17</v>
      </c>
      <c r="W928" s="29">
        <v>735.7</v>
      </c>
      <c r="X928" s="26">
        <v>91043</v>
      </c>
      <c r="Y928" s="35">
        <v>12.93</v>
      </c>
      <c r="Z928" s="1" t="s">
        <v>3012</v>
      </c>
      <c r="AA928" s="36">
        <v>63.770400000000002</v>
      </c>
      <c r="AB928" s="54">
        <v>397.27800000000008</v>
      </c>
      <c r="AC928" s="54">
        <v>19.907176470588237</v>
      </c>
      <c r="AD928" s="36">
        <v>159.1966000000001</v>
      </c>
    </row>
    <row r="929" spans="1:30" s="37" customFormat="1" ht="15.75" customHeight="1" x14ac:dyDescent="0.2">
      <c r="A929" s="26">
        <v>2833</v>
      </c>
      <c r="B929" s="27" t="s">
        <v>1861</v>
      </c>
      <c r="C929" s="27" t="s">
        <v>3094</v>
      </c>
      <c r="D929" s="28">
        <v>0.03</v>
      </c>
      <c r="E929" s="29">
        <v>140.97999999999999</v>
      </c>
      <c r="F929" s="29">
        <v>36.090000000000003</v>
      </c>
      <c r="G929" s="30" t="s">
        <v>27</v>
      </c>
      <c r="H929" s="27" t="s">
        <v>3095</v>
      </c>
      <c r="I929" s="27" t="s">
        <v>29</v>
      </c>
      <c r="J929" s="27" t="s">
        <v>117</v>
      </c>
      <c r="K929" s="27" t="s">
        <v>31</v>
      </c>
      <c r="L929" s="31" t="s">
        <v>1862</v>
      </c>
      <c r="M929" s="32">
        <v>0.77</v>
      </c>
      <c r="N929" s="27" t="s">
        <v>33</v>
      </c>
      <c r="O929" s="27" t="s">
        <v>53</v>
      </c>
      <c r="P929" s="27" t="s">
        <v>84</v>
      </c>
      <c r="Q929" s="27" t="s">
        <v>1863</v>
      </c>
      <c r="R929" s="33">
        <v>55076</v>
      </c>
      <c r="S929" s="34">
        <v>42088</v>
      </c>
      <c r="T929" s="34">
        <v>42090</v>
      </c>
      <c r="U929" s="29">
        <v>-221.5</v>
      </c>
      <c r="V929" s="26">
        <v>4</v>
      </c>
      <c r="W929" s="29">
        <v>608.80999999999995</v>
      </c>
      <c r="X929" s="26">
        <v>91030</v>
      </c>
      <c r="Y929" s="35">
        <v>10.63</v>
      </c>
      <c r="Z929" s="1" t="s">
        <v>3012</v>
      </c>
      <c r="AA929" s="36">
        <v>16.917599999999997</v>
      </c>
      <c r="AB929" s="54">
        <v>140.02629999999996</v>
      </c>
      <c r="AC929" s="54">
        <v>117.19592499999999</v>
      </c>
      <c r="AD929" s="36">
        <v>777.30239999999992</v>
      </c>
    </row>
    <row r="930" spans="1:30" s="37" customFormat="1" ht="15.75" customHeight="1" x14ac:dyDescent="0.2">
      <c r="A930" s="26">
        <v>2287</v>
      </c>
      <c r="B930" s="27" t="s">
        <v>1263</v>
      </c>
      <c r="C930" s="27" t="s">
        <v>3094</v>
      </c>
      <c r="D930" s="28">
        <v>0.05</v>
      </c>
      <c r="E930" s="29">
        <v>34.99</v>
      </c>
      <c r="F930" s="29">
        <v>7.73</v>
      </c>
      <c r="G930" s="30" t="s">
        <v>87</v>
      </c>
      <c r="H930" s="27" t="s">
        <v>94</v>
      </c>
      <c r="I930" s="27" t="s">
        <v>49</v>
      </c>
      <c r="J930" s="27" t="s">
        <v>50</v>
      </c>
      <c r="K930" s="27" t="s">
        <v>73</v>
      </c>
      <c r="L930" s="31" t="s">
        <v>1304</v>
      </c>
      <c r="M930" s="32">
        <v>0.59</v>
      </c>
      <c r="N930" s="27" t="s">
        <v>33</v>
      </c>
      <c r="O930" s="27" t="s">
        <v>34</v>
      </c>
      <c r="P930" s="27" t="s">
        <v>271</v>
      </c>
      <c r="Q930" s="27" t="s">
        <v>1265</v>
      </c>
      <c r="R930" s="33">
        <v>29483</v>
      </c>
      <c r="S930" s="34">
        <v>42088</v>
      </c>
      <c r="T930" s="34">
        <v>42090</v>
      </c>
      <c r="U930" s="29">
        <v>-12.0267</v>
      </c>
      <c r="V930" s="26">
        <v>12</v>
      </c>
      <c r="W930" s="29">
        <v>418.75</v>
      </c>
      <c r="X930" s="26">
        <v>90146</v>
      </c>
      <c r="Y930" s="35">
        <v>14.72</v>
      </c>
      <c r="Z930" s="1" t="s">
        <v>3011</v>
      </c>
      <c r="AA930" s="36">
        <v>20.994000000000003</v>
      </c>
      <c r="AB930" s="54">
        <v>171.6875</v>
      </c>
      <c r="AC930" s="54">
        <v>20.588541666666668</v>
      </c>
      <c r="AD930" s="36">
        <v>402.05270000000002</v>
      </c>
    </row>
    <row r="931" spans="1:30" s="37" customFormat="1" ht="15.75" customHeight="1" x14ac:dyDescent="0.2">
      <c r="A931" s="26">
        <v>1557</v>
      </c>
      <c r="B931" s="27" t="s">
        <v>1852</v>
      </c>
      <c r="C931" s="27" t="s">
        <v>48</v>
      </c>
      <c r="D931" s="28">
        <v>0.05</v>
      </c>
      <c r="E931" s="29">
        <v>29.89</v>
      </c>
      <c r="F931" s="29">
        <v>1.99</v>
      </c>
      <c r="G931" s="30" t="s">
        <v>39</v>
      </c>
      <c r="H931" s="27" t="s">
        <v>40</v>
      </c>
      <c r="I931" s="27" t="s">
        <v>41</v>
      </c>
      <c r="J931" s="27" t="s">
        <v>42</v>
      </c>
      <c r="K931" s="27" t="s">
        <v>43</v>
      </c>
      <c r="L931" s="31" t="s">
        <v>443</v>
      </c>
      <c r="M931" s="32">
        <v>0.5</v>
      </c>
      <c r="N931" s="27" t="s">
        <v>33</v>
      </c>
      <c r="O931" s="27" t="s">
        <v>34</v>
      </c>
      <c r="P931" s="27" t="s">
        <v>242</v>
      </c>
      <c r="Q931" s="27" t="s">
        <v>1853</v>
      </c>
      <c r="R931" s="33">
        <v>22003</v>
      </c>
      <c r="S931" s="34">
        <v>42088</v>
      </c>
      <c r="T931" s="34">
        <v>42090</v>
      </c>
      <c r="U931" s="29">
        <v>219.4734</v>
      </c>
      <c r="V931" s="26">
        <v>12</v>
      </c>
      <c r="W931" s="29">
        <v>361.19</v>
      </c>
      <c r="X931" s="26">
        <v>87426</v>
      </c>
      <c r="Y931" s="35">
        <v>35.92</v>
      </c>
      <c r="Z931" s="1" t="s">
        <v>3011</v>
      </c>
      <c r="AA931" s="36">
        <v>17.934000000000001</v>
      </c>
      <c r="AB931" s="54">
        <v>180.595</v>
      </c>
      <c r="AC931" s="54">
        <v>15.049583333333333</v>
      </c>
      <c r="AD931" s="36">
        <v>121.79259999999999</v>
      </c>
    </row>
    <row r="932" spans="1:30" s="37" customFormat="1" ht="15.75" customHeight="1" x14ac:dyDescent="0.2">
      <c r="A932" s="26">
        <v>1648</v>
      </c>
      <c r="B932" s="27" t="s">
        <v>1842</v>
      </c>
      <c r="C932" s="27" t="s">
        <v>26</v>
      </c>
      <c r="D932" s="28">
        <v>0.05</v>
      </c>
      <c r="E932" s="29">
        <v>12.98</v>
      </c>
      <c r="F932" s="29">
        <v>3.14</v>
      </c>
      <c r="G932" s="30" t="s">
        <v>39</v>
      </c>
      <c r="H932" s="27" t="s">
        <v>94</v>
      </c>
      <c r="I932" s="27" t="s">
        <v>49</v>
      </c>
      <c r="J932" s="27" t="s">
        <v>568</v>
      </c>
      <c r="K932" s="27" t="s">
        <v>43</v>
      </c>
      <c r="L932" s="31" t="s">
        <v>569</v>
      </c>
      <c r="M932" s="32">
        <v>0.6</v>
      </c>
      <c r="N932" s="27" t="s">
        <v>33</v>
      </c>
      <c r="O932" s="27" t="s">
        <v>53</v>
      </c>
      <c r="P932" s="27" t="s">
        <v>103</v>
      </c>
      <c r="Q932" s="27" t="s">
        <v>664</v>
      </c>
      <c r="R932" s="33">
        <v>60098</v>
      </c>
      <c r="S932" s="34">
        <v>42088</v>
      </c>
      <c r="T932" s="34">
        <v>42088</v>
      </c>
      <c r="U932" s="29">
        <v>38.229999999999997</v>
      </c>
      <c r="V932" s="26">
        <v>18</v>
      </c>
      <c r="W932" s="29">
        <v>225.59</v>
      </c>
      <c r="X932" s="26">
        <v>91043</v>
      </c>
      <c r="Y932" s="35">
        <v>500.96000000000004</v>
      </c>
      <c r="Z932" s="1" t="s">
        <v>3012</v>
      </c>
      <c r="AA932" s="36">
        <v>11.682</v>
      </c>
      <c r="AB932" s="54">
        <v>90.236000000000004</v>
      </c>
      <c r="AC932" s="54">
        <v>7.5196666666666658</v>
      </c>
      <c r="AD932" s="36">
        <v>172.53800000000001</v>
      </c>
    </row>
    <row r="933" spans="1:30" s="37" customFormat="1" ht="15.75" customHeight="1" x14ac:dyDescent="0.2">
      <c r="A933" s="26">
        <v>2287</v>
      </c>
      <c r="B933" s="27" t="s">
        <v>1263</v>
      </c>
      <c r="C933" s="27" t="s">
        <v>3094</v>
      </c>
      <c r="D933" s="28">
        <v>0.01</v>
      </c>
      <c r="E933" s="29">
        <v>18.97</v>
      </c>
      <c r="F933" s="29">
        <v>9.0299999999999994</v>
      </c>
      <c r="G933" s="30" t="s">
        <v>39</v>
      </c>
      <c r="H933" s="27" t="s">
        <v>94</v>
      </c>
      <c r="I933" s="27" t="s">
        <v>49</v>
      </c>
      <c r="J933" s="27" t="s">
        <v>88</v>
      </c>
      <c r="K933" s="27" t="s">
        <v>73</v>
      </c>
      <c r="L933" s="31" t="s">
        <v>630</v>
      </c>
      <c r="M933" s="32">
        <v>0.37</v>
      </c>
      <c r="N933" s="27" t="s">
        <v>33</v>
      </c>
      <c r="O933" s="27" t="s">
        <v>34</v>
      </c>
      <c r="P933" s="27" t="s">
        <v>271</v>
      </c>
      <c r="Q933" s="27" t="s">
        <v>1265</v>
      </c>
      <c r="R933" s="33">
        <v>29483</v>
      </c>
      <c r="S933" s="34">
        <v>42088</v>
      </c>
      <c r="T933" s="34">
        <v>42088</v>
      </c>
      <c r="U933" s="29">
        <v>-12.0267</v>
      </c>
      <c r="V933" s="26">
        <v>8</v>
      </c>
      <c r="W933" s="29">
        <v>164.67</v>
      </c>
      <c r="X933" s="26">
        <v>90146</v>
      </c>
      <c r="Y933" s="35">
        <v>60.889999999999993</v>
      </c>
      <c r="Z933" s="1" t="s">
        <v>3011</v>
      </c>
      <c r="AA933" s="36">
        <v>1.5175999999999998</v>
      </c>
      <c r="AB933" s="54">
        <v>103.74209999999999</v>
      </c>
      <c r="AC933" s="54">
        <v>7.6159874999999992</v>
      </c>
      <c r="AD933" s="36">
        <v>166.14909999999998</v>
      </c>
    </row>
    <row r="934" spans="1:30" s="37" customFormat="1" ht="15.75" customHeight="1" x14ac:dyDescent="0.2">
      <c r="A934" s="26">
        <v>290</v>
      </c>
      <c r="B934" s="27" t="s">
        <v>1858</v>
      </c>
      <c r="C934" s="27" t="s">
        <v>3094</v>
      </c>
      <c r="D934" s="28">
        <v>0.04</v>
      </c>
      <c r="E934" s="29">
        <v>4.9800000000000004</v>
      </c>
      <c r="F934" s="29">
        <v>4.62</v>
      </c>
      <c r="G934" s="30" t="s">
        <v>39</v>
      </c>
      <c r="H934" s="27" t="s">
        <v>3095</v>
      </c>
      <c r="I934" s="27" t="s">
        <v>41</v>
      </c>
      <c r="J934" s="27" t="s">
        <v>42</v>
      </c>
      <c r="K934" s="27" t="s">
        <v>43</v>
      </c>
      <c r="L934" s="31" t="s">
        <v>1221</v>
      </c>
      <c r="M934" s="32">
        <v>0.64</v>
      </c>
      <c r="N934" s="27" t="s">
        <v>33</v>
      </c>
      <c r="O934" s="27" t="s">
        <v>60</v>
      </c>
      <c r="P934" s="27" t="s">
        <v>61</v>
      </c>
      <c r="Q934" s="27" t="s">
        <v>1859</v>
      </c>
      <c r="R934" s="33">
        <v>80538</v>
      </c>
      <c r="S934" s="34">
        <v>42088</v>
      </c>
      <c r="T934" s="34">
        <v>42089</v>
      </c>
      <c r="U934" s="29">
        <v>-135.16</v>
      </c>
      <c r="V934" s="26">
        <v>20</v>
      </c>
      <c r="W934" s="29">
        <v>102.54</v>
      </c>
      <c r="X934" s="26">
        <v>90837</v>
      </c>
      <c r="Y934" s="35">
        <v>29.84</v>
      </c>
      <c r="Z934" s="1" t="s">
        <v>3013</v>
      </c>
      <c r="AA934" s="36">
        <v>3.9840000000000004</v>
      </c>
      <c r="AB934" s="54">
        <v>36.914400000000001</v>
      </c>
      <c r="AC934" s="54">
        <v>3.2812800000000006</v>
      </c>
      <c r="AD934" s="36">
        <v>229.096</v>
      </c>
    </row>
    <row r="935" spans="1:30" s="37" customFormat="1" ht="15.75" customHeight="1" x14ac:dyDescent="0.2">
      <c r="A935" s="26">
        <v>2287</v>
      </c>
      <c r="B935" s="27" t="s">
        <v>1263</v>
      </c>
      <c r="C935" s="27" t="s">
        <v>3094</v>
      </c>
      <c r="D935" s="28">
        <v>0.03</v>
      </c>
      <c r="E935" s="29">
        <v>12.28</v>
      </c>
      <c r="F935" s="29">
        <v>4.8600000000000003</v>
      </c>
      <c r="G935" s="30" t="s">
        <v>39</v>
      </c>
      <c r="H935" s="27" t="s">
        <v>94</v>
      </c>
      <c r="I935" s="27" t="s">
        <v>49</v>
      </c>
      <c r="J935" s="27" t="s">
        <v>88</v>
      </c>
      <c r="K935" s="27" t="s">
        <v>73</v>
      </c>
      <c r="L935" s="31" t="s">
        <v>1860</v>
      </c>
      <c r="M935" s="32">
        <v>0.38</v>
      </c>
      <c r="N935" s="27" t="s">
        <v>33</v>
      </c>
      <c r="O935" s="27" t="s">
        <v>34</v>
      </c>
      <c r="P935" s="27" t="s">
        <v>271</v>
      </c>
      <c r="Q935" s="27" t="s">
        <v>1265</v>
      </c>
      <c r="R935" s="33">
        <v>29483</v>
      </c>
      <c r="S935" s="34">
        <v>42088</v>
      </c>
      <c r="T935" s="34">
        <v>42089</v>
      </c>
      <c r="U935" s="29">
        <v>122.508</v>
      </c>
      <c r="V935" s="26">
        <v>6</v>
      </c>
      <c r="W935" s="29">
        <v>72.739999999999995</v>
      </c>
      <c r="X935" s="26">
        <v>90146</v>
      </c>
      <c r="Y935" s="35">
        <v>3.93</v>
      </c>
      <c r="Z935" s="1" t="s">
        <v>3011</v>
      </c>
      <c r="AA935" s="36">
        <v>2.2103999999999999</v>
      </c>
      <c r="AB935" s="54">
        <v>45.098799999999997</v>
      </c>
      <c r="AC935" s="54">
        <v>4.6068666666666669</v>
      </c>
      <c r="AD935" s="36">
        <v>-56.838399999999993</v>
      </c>
    </row>
    <row r="936" spans="1:30" s="37" customFormat="1" ht="15.75" customHeight="1" x14ac:dyDescent="0.2">
      <c r="A936" s="26">
        <v>1829</v>
      </c>
      <c r="B936" s="27" t="s">
        <v>254</v>
      </c>
      <c r="C936" s="27" t="s">
        <v>26</v>
      </c>
      <c r="D936" s="28">
        <v>0.01</v>
      </c>
      <c r="E936" s="29">
        <v>10.64</v>
      </c>
      <c r="F936" s="29">
        <v>5.16</v>
      </c>
      <c r="G936" s="30" t="s">
        <v>87</v>
      </c>
      <c r="H936" s="27" t="s">
        <v>94</v>
      </c>
      <c r="I936" s="27" t="s">
        <v>29</v>
      </c>
      <c r="J936" s="27" t="s">
        <v>126</v>
      </c>
      <c r="K936" s="27" t="s">
        <v>73</v>
      </c>
      <c r="L936" s="31" t="s">
        <v>1844</v>
      </c>
      <c r="M936" s="32">
        <v>0.56999999999999995</v>
      </c>
      <c r="N936" s="27" t="s">
        <v>33</v>
      </c>
      <c r="O936" s="27" t="s">
        <v>53</v>
      </c>
      <c r="P936" s="27" t="s">
        <v>213</v>
      </c>
      <c r="Q936" s="27" t="s">
        <v>256</v>
      </c>
      <c r="R936" s="33">
        <v>52402</v>
      </c>
      <c r="S936" s="34">
        <v>42088</v>
      </c>
      <c r="T936" s="34">
        <v>42090</v>
      </c>
      <c r="U936" s="29">
        <v>-11.69</v>
      </c>
      <c r="V936" s="26">
        <v>5</v>
      </c>
      <c r="W936" s="29">
        <v>58.52</v>
      </c>
      <c r="X936" s="26">
        <v>86957</v>
      </c>
      <c r="Y936" s="35">
        <v>6.4700000000000006</v>
      </c>
      <c r="Z936" s="1" t="s">
        <v>3012</v>
      </c>
      <c r="AA936" s="36">
        <v>0.53200000000000003</v>
      </c>
      <c r="AB936" s="54">
        <v>25.163600000000006</v>
      </c>
      <c r="AC936" s="54">
        <v>6.6712799999999994</v>
      </c>
      <c r="AD936" s="36">
        <v>64.518000000000001</v>
      </c>
    </row>
    <row r="937" spans="1:30" s="37" customFormat="1" ht="15.75" customHeight="1" x14ac:dyDescent="0.2">
      <c r="A937" s="26">
        <v>1699</v>
      </c>
      <c r="B937" s="27" t="s">
        <v>1854</v>
      </c>
      <c r="C937" s="27" t="s">
        <v>48</v>
      </c>
      <c r="D937" s="28">
        <v>0.05</v>
      </c>
      <c r="E937" s="29">
        <v>3.98</v>
      </c>
      <c r="F937" s="29">
        <v>5.26</v>
      </c>
      <c r="G937" s="30" t="s">
        <v>39</v>
      </c>
      <c r="H937" s="27" t="s">
        <v>3095</v>
      </c>
      <c r="I937" s="27" t="s">
        <v>49</v>
      </c>
      <c r="J937" s="27" t="s">
        <v>72</v>
      </c>
      <c r="K937" s="27" t="s">
        <v>73</v>
      </c>
      <c r="L937" s="31" t="s">
        <v>1855</v>
      </c>
      <c r="M937" s="32">
        <v>0.38</v>
      </c>
      <c r="N937" s="27" t="s">
        <v>33</v>
      </c>
      <c r="O937" s="27" t="s">
        <v>111</v>
      </c>
      <c r="P937" s="27" t="s">
        <v>320</v>
      </c>
      <c r="Q937" s="27" t="s">
        <v>1856</v>
      </c>
      <c r="R937" s="33">
        <v>19057</v>
      </c>
      <c r="S937" s="34">
        <v>42088</v>
      </c>
      <c r="T937" s="34">
        <v>42092</v>
      </c>
      <c r="U937" s="29">
        <v>-152.52449999999999</v>
      </c>
      <c r="V937" s="26">
        <v>12</v>
      </c>
      <c r="W937" s="29">
        <v>49.44</v>
      </c>
      <c r="X937" s="26">
        <v>87345</v>
      </c>
      <c r="Y937" s="35">
        <v>4.9400000000000004</v>
      </c>
      <c r="Z937" s="1" t="s">
        <v>3014</v>
      </c>
      <c r="AA937" s="36">
        <v>2.3879999999999999</v>
      </c>
      <c r="AB937" s="54">
        <v>30.652799999999999</v>
      </c>
      <c r="AC937" s="54">
        <v>1.5656000000000001</v>
      </c>
      <c r="AD937" s="36">
        <v>194.31649999999999</v>
      </c>
    </row>
    <row r="938" spans="1:30" s="37" customFormat="1" ht="15.75" customHeight="1" x14ac:dyDescent="0.2">
      <c r="A938" s="26">
        <v>3100</v>
      </c>
      <c r="B938" s="27" t="s">
        <v>1848</v>
      </c>
      <c r="C938" s="27" t="s">
        <v>26</v>
      </c>
      <c r="D938" s="28">
        <v>7.0000000000000007E-2</v>
      </c>
      <c r="E938" s="29">
        <v>35.99</v>
      </c>
      <c r="F938" s="29">
        <v>5</v>
      </c>
      <c r="G938" s="30" t="s">
        <v>39</v>
      </c>
      <c r="H938" s="27" t="s">
        <v>40</v>
      </c>
      <c r="I938" s="27" t="s">
        <v>41</v>
      </c>
      <c r="J938" s="27" t="s">
        <v>135</v>
      </c>
      <c r="K938" s="27" t="s">
        <v>51</v>
      </c>
      <c r="L938" s="31" t="s">
        <v>1849</v>
      </c>
      <c r="M938" s="32">
        <v>0.82</v>
      </c>
      <c r="N938" s="27" t="s">
        <v>33</v>
      </c>
      <c r="O938" s="27" t="s">
        <v>34</v>
      </c>
      <c r="P938" s="27" t="s">
        <v>123</v>
      </c>
      <c r="Q938" s="27" t="s">
        <v>1850</v>
      </c>
      <c r="R938" s="33">
        <v>33334</v>
      </c>
      <c r="S938" s="34">
        <v>42088</v>
      </c>
      <c r="T938" s="34">
        <v>42090</v>
      </c>
      <c r="U938" s="29">
        <v>-299.81420000000003</v>
      </c>
      <c r="V938" s="26">
        <v>1</v>
      </c>
      <c r="W938" s="29">
        <v>31.71</v>
      </c>
      <c r="X938" s="26">
        <v>89988</v>
      </c>
      <c r="Y938" s="35">
        <v>18.959999999999997</v>
      </c>
      <c r="Z938" s="1" t="s">
        <v>3011</v>
      </c>
      <c r="AA938" s="36">
        <v>2.5193000000000003</v>
      </c>
      <c r="AB938" s="54">
        <v>5.7078000000000015</v>
      </c>
      <c r="AC938" s="54">
        <v>26.002199999999998</v>
      </c>
      <c r="AD938" s="36">
        <v>324.00490000000002</v>
      </c>
    </row>
    <row r="939" spans="1:30" s="37" customFormat="1" ht="15.75" customHeight="1" x14ac:dyDescent="0.2">
      <c r="A939" s="26">
        <v>2201</v>
      </c>
      <c r="B939" s="27" t="s">
        <v>1845</v>
      </c>
      <c r="C939" s="27" t="s">
        <v>26</v>
      </c>
      <c r="D939" s="28">
        <v>0.17</v>
      </c>
      <c r="E939" s="29">
        <v>14.89</v>
      </c>
      <c r="F939" s="29">
        <v>13.56</v>
      </c>
      <c r="G939" s="30" t="s">
        <v>39</v>
      </c>
      <c r="H939" s="27" t="s">
        <v>3095</v>
      </c>
      <c r="I939" s="27" t="s">
        <v>29</v>
      </c>
      <c r="J939" s="27" t="s">
        <v>126</v>
      </c>
      <c r="K939" s="27" t="s">
        <v>65</v>
      </c>
      <c r="L939" s="31" t="s">
        <v>1846</v>
      </c>
      <c r="M939" s="32">
        <v>0.57999999999999996</v>
      </c>
      <c r="N939" s="27" t="s">
        <v>33</v>
      </c>
      <c r="O939" s="27" t="s">
        <v>53</v>
      </c>
      <c r="P939" s="27" t="s">
        <v>84</v>
      </c>
      <c r="Q939" s="27" t="s">
        <v>1847</v>
      </c>
      <c r="R939" s="33">
        <v>55420</v>
      </c>
      <c r="S939" s="34">
        <v>42088</v>
      </c>
      <c r="T939" s="34">
        <v>42090</v>
      </c>
      <c r="U939" s="29">
        <v>-9.1300000000000008</v>
      </c>
      <c r="V939" s="26">
        <v>1</v>
      </c>
      <c r="W939" s="29">
        <v>27.96</v>
      </c>
      <c r="X939" s="26">
        <v>86054</v>
      </c>
      <c r="Y939" s="35">
        <v>12.25</v>
      </c>
      <c r="Z939" s="1" t="s">
        <v>3012</v>
      </c>
      <c r="AA939" s="36">
        <v>2.5313000000000003</v>
      </c>
      <c r="AB939" s="54">
        <v>11.743200000000002</v>
      </c>
      <c r="AC939" s="54">
        <v>16.216799999999999</v>
      </c>
      <c r="AD939" s="36">
        <v>20.998699999999999</v>
      </c>
    </row>
    <row r="940" spans="1:30" s="37" customFormat="1" ht="15.75" customHeight="1" x14ac:dyDescent="0.2">
      <c r="A940" s="26">
        <v>880</v>
      </c>
      <c r="B940" s="27" t="s">
        <v>1839</v>
      </c>
      <c r="C940" s="27" t="s">
        <v>26</v>
      </c>
      <c r="D940" s="28">
        <v>0.06</v>
      </c>
      <c r="E940" s="29">
        <v>22.84</v>
      </c>
      <c r="F940" s="29">
        <v>11.54</v>
      </c>
      <c r="G940" s="30" t="s">
        <v>39</v>
      </c>
      <c r="H940" s="27" t="s">
        <v>3095</v>
      </c>
      <c r="I940" s="27" t="s">
        <v>49</v>
      </c>
      <c r="J940" s="27" t="s">
        <v>88</v>
      </c>
      <c r="K940" s="27" t="s">
        <v>73</v>
      </c>
      <c r="L940" s="31" t="s">
        <v>1841</v>
      </c>
      <c r="M940" s="32">
        <v>0.39</v>
      </c>
      <c r="N940" s="27" t="s">
        <v>33</v>
      </c>
      <c r="O940" s="27" t="s">
        <v>60</v>
      </c>
      <c r="P940" s="27" t="s">
        <v>588</v>
      </c>
      <c r="Q940" s="27" t="s">
        <v>1840</v>
      </c>
      <c r="R940" s="33">
        <v>85254</v>
      </c>
      <c r="S940" s="34">
        <v>42088</v>
      </c>
      <c r="T940" s="34">
        <v>42090</v>
      </c>
      <c r="U940" s="29">
        <v>-31.24</v>
      </c>
      <c r="V940" s="26">
        <v>1</v>
      </c>
      <c r="W940" s="29">
        <v>27.67</v>
      </c>
      <c r="X940" s="26">
        <v>86153</v>
      </c>
      <c r="Y940" s="35">
        <v>34.940000000000005</v>
      </c>
      <c r="Z940" s="1" t="s">
        <v>3013</v>
      </c>
      <c r="AA940" s="36">
        <v>1.3703999999999998</v>
      </c>
      <c r="AB940" s="54">
        <v>16.878700000000002</v>
      </c>
      <c r="AC940" s="54">
        <v>10.791300000000001</v>
      </c>
      <c r="AD940" s="36">
        <v>45.999600000000001</v>
      </c>
    </row>
    <row r="941" spans="1:30" s="37" customFormat="1" ht="15.75" customHeight="1" x14ac:dyDescent="0.2">
      <c r="A941" s="26">
        <v>880</v>
      </c>
      <c r="B941" s="27" t="s">
        <v>1839</v>
      </c>
      <c r="C941" s="27" t="s">
        <v>26</v>
      </c>
      <c r="D941" s="28">
        <v>7.0000000000000007E-2</v>
      </c>
      <c r="E941" s="29">
        <v>5.68</v>
      </c>
      <c r="F941" s="29">
        <v>1.39</v>
      </c>
      <c r="G941" s="30" t="s">
        <v>39</v>
      </c>
      <c r="H941" s="27" t="s">
        <v>3095</v>
      </c>
      <c r="I941" s="27" t="s">
        <v>49</v>
      </c>
      <c r="J941" s="27" t="s">
        <v>345</v>
      </c>
      <c r="K941" s="27" t="s">
        <v>73</v>
      </c>
      <c r="L941" s="31" t="s">
        <v>598</v>
      </c>
      <c r="M941" s="32">
        <v>0.38</v>
      </c>
      <c r="N941" s="27" t="s">
        <v>33</v>
      </c>
      <c r="O941" s="27" t="s">
        <v>60</v>
      </c>
      <c r="P941" s="27" t="s">
        <v>588</v>
      </c>
      <c r="Q941" s="27" t="s">
        <v>1840</v>
      </c>
      <c r="R941" s="33">
        <v>85254</v>
      </c>
      <c r="S941" s="34">
        <v>42088</v>
      </c>
      <c r="T941" s="34">
        <v>42090</v>
      </c>
      <c r="U941" s="29">
        <v>18.643799999999999</v>
      </c>
      <c r="V941" s="26">
        <v>5</v>
      </c>
      <c r="W941" s="29">
        <v>27.02</v>
      </c>
      <c r="X941" s="26">
        <v>86153</v>
      </c>
      <c r="Y941" s="35">
        <v>140.94999999999999</v>
      </c>
      <c r="Z941" s="1" t="s">
        <v>3013</v>
      </c>
      <c r="AA941" s="36">
        <v>1.988</v>
      </c>
      <c r="AB941" s="54">
        <v>16.752399999999998</v>
      </c>
      <c r="AC941" s="54">
        <v>2.0535199999999998</v>
      </c>
      <c r="AD941" s="36">
        <v>4.9982000000000006</v>
      </c>
    </row>
    <row r="942" spans="1:30" s="37" customFormat="1" ht="15.75" customHeight="1" x14ac:dyDescent="0.2">
      <c r="A942" s="26">
        <v>1699</v>
      </c>
      <c r="B942" s="27" t="s">
        <v>1854</v>
      </c>
      <c r="C942" s="27" t="s">
        <v>48</v>
      </c>
      <c r="D942" s="28">
        <v>0.01</v>
      </c>
      <c r="E942" s="29">
        <v>6.48</v>
      </c>
      <c r="F942" s="29">
        <v>5.4</v>
      </c>
      <c r="G942" s="30" t="s">
        <v>39</v>
      </c>
      <c r="H942" s="27" t="s">
        <v>3095</v>
      </c>
      <c r="I942" s="27" t="s">
        <v>49</v>
      </c>
      <c r="J942" s="27" t="s">
        <v>88</v>
      </c>
      <c r="K942" s="27" t="s">
        <v>73</v>
      </c>
      <c r="L942" s="31" t="s">
        <v>1857</v>
      </c>
      <c r="M942" s="32">
        <v>0.37</v>
      </c>
      <c r="N942" s="27" t="s">
        <v>33</v>
      </c>
      <c r="O942" s="27" t="s">
        <v>111</v>
      </c>
      <c r="P942" s="27" t="s">
        <v>320</v>
      </c>
      <c r="Q942" s="27" t="s">
        <v>1856</v>
      </c>
      <c r="R942" s="33">
        <v>19057</v>
      </c>
      <c r="S942" s="34">
        <v>42088</v>
      </c>
      <c r="T942" s="34">
        <v>42088</v>
      </c>
      <c r="U942" s="29">
        <v>-18.850000000000001</v>
      </c>
      <c r="V942" s="26">
        <v>2</v>
      </c>
      <c r="W942" s="29">
        <v>14.29</v>
      </c>
      <c r="X942" s="26">
        <v>87345</v>
      </c>
      <c r="Y942" s="35">
        <v>65.91</v>
      </c>
      <c r="Z942" s="1" t="s">
        <v>3014</v>
      </c>
      <c r="AA942" s="36">
        <v>0.12960000000000002</v>
      </c>
      <c r="AB942" s="54">
        <v>9.002699999999999</v>
      </c>
      <c r="AC942" s="54">
        <v>2.6436499999999996</v>
      </c>
      <c r="AD942" s="36">
        <v>27.610399999999998</v>
      </c>
    </row>
    <row r="943" spans="1:30" s="37" customFormat="1" ht="15.75" customHeight="1" x14ac:dyDescent="0.2">
      <c r="A943" s="26">
        <v>2124</v>
      </c>
      <c r="B943" s="27" t="s">
        <v>37</v>
      </c>
      <c r="C943" s="27" t="s">
        <v>38</v>
      </c>
      <c r="D943" s="28">
        <v>0.03</v>
      </c>
      <c r="E943" s="29">
        <v>124.49</v>
      </c>
      <c r="F943" s="29">
        <v>51.94</v>
      </c>
      <c r="G943" s="30" t="s">
        <v>27</v>
      </c>
      <c r="H943" s="27" t="s">
        <v>94</v>
      </c>
      <c r="I943" s="27" t="s">
        <v>29</v>
      </c>
      <c r="J943" s="27" t="s">
        <v>30</v>
      </c>
      <c r="K943" s="27" t="s">
        <v>31</v>
      </c>
      <c r="L943" s="31" t="s">
        <v>1149</v>
      </c>
      <c r="M943" s="32">
        <v>0.63</v>
      </c>
      <c r="N943" s="27" t="s">
        <v>33</v>
      </c>
      <c r="O943" s="27" t="s">
        <v>34</v>
      </c>
      <c r="P943" s="27" t="s">
        <v>45</v>
      </c>
      <c r="Q943" s="27" t="s">
        <v>46</v>
      </c>
      <c r="R943" s="33">
        <v>72301</v>
      </c>
      <c r="S943" s="34">
        <v>42089</v>
      </c>
      <c r="T943" s="34">
        <v>42090</v>
      </c>
      <c r="U943" s="29">
        <v>18.173999999999999</v>
      </c>
      <c r="V943" s="26">
        <v>21</v>
      </c>
      <c r="W943" s="29">
        <v>2761.94</v>
      </c>
      <c r="X943" s="26">
        <v>89666</v>
      </c>
      <c r="Y943" s="35">
        <v>50.97</v>
      </c>
      <c r="Z943" s="1" t="s">
        <v>3011</v>
      </c>
      <c r="AA943" s="36">
        <v>78.428699999999992</v>
      </c>
      <c r="AB943" s="54">
        <v>1021.9178000000001</v>
      </c>
      <c r="AC943" s="54">
        <v>82.858200000000011</v>
      </c>
      <c r="AD943" s="36">
        <v>2613.3973000000001</v>
      </c>
    </row>
    <row r="944" spans="1:30" s="37" customFormat="1" ht="15.75" customHeight="1" x14ac:dyDescent="0.2">
      <c r="A944" s="26">
        <v>2419</v>
      </c>
      <c r="B944" s="27" t="s">
        <v>1875</v>
      </c>
      <c r="C944" s="27" t="s">
        <v>3094</v>
      </c>
      <c r="D944" s="28">
        <v>7.0000000000000007E-2</v>
      </c>
      <c r="E944" s="29">
        <v>225.04</v>
      </c>
      <c r="F944" s="29">
        <v>11.79</v>
      </c>
      <c r="G944" s="30" t="s">
        <v>39</v>
      </c>
      <c r="H944" s="27" t="s">
        <v>40</v>
      </c>
      <c r="I944" s="27" t="s">
        <v>49</v>
      </c>
      <c r="J944" s="27" t="s">
        <v>95</v>
      </c>
      <c r="K944" s="27" t="s">
        <v>144</v>
      </c>
      <c r="L944" s="31" t="s">
        <v>1876</v>
      </c>
      <c r="M944" s="32">
        <v>0.42</v>
      </c>
      <c r="N944" s="27" t="s">
        <v>33</v>
      </c>
      <c r="O944" s="27" t="s">
        <v>34</v>
      </c>
      <c r="P944" s="27" t="s">
        <v>242</v>
      </c>
      <c r="Q944" s="27" t="s">
        <v>1877</v>
      </c>
      <c r="R944" s="33">
        <v>23701</v>
      </c>
      <c r="S944" s="34">
        <v>42089</v>
      </c>
      <c r="T944" s="34">
        <v>42089</v>
      </c>
      <c r="U944" s="29">
        <v>-162.91800000000001</v>
      </c>
      <c r="V944" s="26">
        <v>5</v>
      </c>
      <c r="W944" s="29">
        <v>1130.1500000000001</v>
      </c>
      <c r="X944" s="26">
        <v>86751</v>
      </c>
      <c r="Y944" s="35">
        <v>6.6</v>
      </c>
      <c r="Z944" s="1" t="s">
        <v>3011</v>
      </c>
      <c r="AA944" s="36">
        <v>78.76400000000001</v>
      </c>
      <c r="AB944" s="54">
        <v>655.48700000000008</v>
      </c>
      <c r="AC944" s="54">
        <v>94.932600000000008</v>
      </c>
      <c r="AD944" s="36">
        <v>1202.5140000000001</v>
      </c>
    </row>
    <row r="945" spans="1:30" s="37" customFormat="1" ht="15.75" customHeight="1" x14ac:dyDescent="0.2">
      <c r="A945" s="26">
        <v>1767</v>
      </c>
      <c r="B945" s="27" t="s">
        <v>1865</v>
      </c>
      <c r="C945" s="27" t="s">
        <v>26</v>
      </c>
      <c r="D945" s="28">
        <v>0.01</v>
      </c>
      <c r="E945" s="29">
        <v>50.98</v>
      </c>
      <c r="F945" s="29">
        <v>6.5</v>
      </c>
      <c r="G945" s="30" t="s">
        <v>39</v>
      </c>
      <c r="H945" s="27" t="s">
        <v>71</v>
      </c>
      <c r="I945" s="27" t="s">
        <v>41</v>
      </c>
      <c r="J945" s="27" t="s">
        <v>42</v>
      </c>
      <c r="K945" s="27" t="s">
        <v>73</v>
      </c>
      <c r="L945" s="31" t="s">
        <v>1866</v>
      </c>
      <c r="M945" s="32">
        <v>0.73</v>
      </c>
      <c r="N945" s="27" t="s">
        <v>33</v>
      </c>
      <c r="O945" s="27" t="s">
        <v>34</v>
      </c>
      <c r="P945" s="27" t="s">
        <v>75</v>
      </c>
      <c r="Q945" s="27" t="s">
        <v>1867</v>
      </c>
      <c r="R945" s="33">
        <v>30265</v>
      </c>
      <c r="S945" s="34">
        <v>42089</v>
      </c>
      <c r="T945" s="34">
        <v>42090</v>
      </c>
      <c r="U945" s="29">
        <v>5.3396999999999997</v>
      </c>
      <c r="V945" s="26">
        <v>16</v>
      </c>
      <c r="W945" s="29">
        <v>818.49</v>
      </c>
      <c r="X945" s="26">
        <v>89211</v>
      </c>
      <c r="Y945" s="35">
        <v>19.98</v>
      </c>
      <c r="Z945" s="1" t="s">
        <v>3011</v>
      </c>
      <c r="AA945" s="36">
        <v>8.1568000000000005</v>
      </c>
      <c r="AB945" s="54">
        <v>220.99230000000003</v>
      </c>
      <c r="AC945" s="54">
        <v>37.343606250000001</v>
      </c>
      <c r="AD945" s="36">
        <v>798.49350000000004</v>
      </c>
    </row>
    <row r="946" spans="1:30" s="37" customFormat="1" ht="15.75" customHeight="1" x14ac:dyDescent="0.2">
      <c r="A946" s="26">
        <v>3379</v>
      </c>
      <c r="B946" s="27" t="s">
        <v>1869</v>
      </c>
      <c r="C946" s="27" t="s">
        <v>26</v>
      </c>
      <c r="D946" s="28">
        <v>0</v>
      </c>
      <c r="E946" s="29">
        <v>19.98</v>
      </c>
      <c r="F946" s="29">
        <v>5.97</v>
      </c>
      <c r="G946" s="30" t="s">
        <v>87</v>
      </c>
      <c r="H946" s="27" t="s">
        <v>94</v>
      </c>
      <c r="I946" s="27" t="s">
        <v>49</v>
      </c>
      <c r="J946" s="27" t="s">
        <v>88</v>
      </c>
      <c r="K946" s="27" t="s">
        <v>73</v>
      </c>
      <c r="L946" s="31" t="s">
        <v>1870</v>
      </c>
      <c r="M946" s="32">
        <v>0.38</v>
      </c>
      <c r="N946" s="27" t="s">
        <v>33</v>
      </c>
      <c r="O946" s="27" t="s">
        <v>34</v>
      </c>
      <c r="P946" s="27" t="s">
        <v>75</v>
      </c>
      <c r="Q946" s="27" t="s">
        <v>1871</v>
      </c>
      <c r="R946" s="33">
        <v>30144</v>
      </c>
      <c r="S946" s="34">
        <v>42089</v>
      </c>
      <c r="T946" s="34">
        <v>42092</v>
      </c>
      <c r="U946" s="29">
        <v>-189.714</v>
      </c>
      <c r="V946" s="26">
        <v>12</v>
      </c>
      <c r="W946" s="29">
        <v>249.07</v>
      </c>
      <c r="X946" s="26">
        <v>88837</v>
      </c>
      <c r="Y946" s="35">
        <v>124.46</v>
      </c>
      <c r="Z946" s="1" t="s">
        <v>3011</v>
      </c>
      <c r="AA946" s="36">
        <v>0</v>
      </c>
      <c r="AB946" s="54">
        <v>154.42339999999999</v>
      </c>
      <c r="AC946" s="54">
        <v>7.8872166666666663</v>
      </c>
      <c r="AD946" s="36">
        <v>432.81399999999996</v>
      </c>
    </row>
    <row r="947" spans="1:30" s="37" customFormat="1" ht="15.75" customHeight="1" x14ac:dyDescent="0.2">
      <c r="A947" s="26">
        <v>2066</v>
      </c>
      <c r="B947" s="27" t="s">
        <v>1872</v>
      </c>
      <c r="C947" s="27" t="s">
        <v>116</v>
      </c>
      <c r="D947" s="28">
        <v>0.09</v>
      </c>
      <c r="E947" s="29">
        <v>20.89</v>
      </c>
      <c r="F947" s="29">
        <v>11.52</v>
      </c>
      <c r="G947" s="30" t="s">
        <v>39</v>
      </c>
      <c r="H947" s="27" t="s">
        <v>71</v>
      </c>
      <c r="I947" s="27" t="s">
        <v>49</v>
      </c>
      <c r="J947" s="27" t="s">
        <v>78</v>
      </c>
      <c r="K947" s="27" t="s">
        <v>73</v>
      </c>
      <c r="L947" s="31" t="s">
        <v>1873</v>
      </c>
      <c r="M947" s="32">
        <v>0.83</v>
      </c>
      <c r="N947" s="27" t="s">
        <v>33</v>
      </c>
      <c r="O947" s="27" t="s">
        <v>34</v>
      </c>
      <c r="P947" s="27" t="s">
        <v>97</v>
      </c>
      <c r="Q947" s="27" t="s">
        <v>1874</v>
      </c>
      <c r="R947" s="33">
        <v>28079</v>
      </c>
      <c r="S947" s="34">
        <v>42089</v>
      </c>
      <c r="T947" s="34">
        <v>42090</v>
      </c>
      <c r="U947" s="29">
        <v>-133.54599999999999</v>
      </c>
      <c r="V947" s="26">
        <v>7</v>
      </c>
      <c r="W947" s="29">
        <v>146.5</v>
      </c>
      <c r="X947" s="26">
        <v>85833</v>
      </c>
      <c r="Y947" s="35">
        <v>20.8</v>
      </c>
      <c r="Z947" s="1" t="s">
        <v>3011</v>
      </c>
      <c r="AA947" s="36">
        <v>13.160699999999999</v>
      </c>
      <c r="AB947" s="54">
        <v>24.905000000000005</v>
      </c>
      <c r="AC947" s="54">
        <v>17.370714285714282</v>
      </c>
      <c r="AD947" s="36">
        <v>255.36529999999999</v>
      </c>
    </row>
    <row r="948" spans="1:30" s="37" customFormat="1" ht="15.75" customHeight="1" x14ac:dyDescent="0.2">
      <c r="A948" s="26">
        <v>2114</v>
      </c>
      <c r="B948" s="27" t="s">
        <v>1375</v>
      </c>
      <c r="C948" s="27" t="s">
        <v>26</v>
      </c>
      <c r="D948" s="28">
        <v>0.08</v>
      </c>
      <c r="E948" s="29">
        <v>6.68</v>
      </c>
      <c r="F948" s="29">
        <v>1.5</v>
      </c>
      <c r="G948" s="30" t="s">
        <v>39</v>
      </c>
      <c r="H948" s="27" t="s">
        <v>94</v>
      </c>
      <c r="I948" s="27" t="s">
        <v>49</v>
      </c>
      <c r="J948" s="27" t="s">
        <v>50</v>
      </c>
      <c r="K948" s="27" t="s">
        <v>51</v>
      </c>
      <c r="L948" s="31" t="s">
        <v>1868</v>
      </c>
      <c r="M948" s="32">
        <v>0.48</v>
      </c>
      <c r="N948" s="27" t="s">
        <v>33</v>
      </c>
      <c r="O948" s="27" t="s">
        <v>34</v>
      </c>
      <c r="P948" s="27" t="s">
        <v>242</v>
      </c>
      <c r="Q948" s="27" t="s">
        <v>1377</v>
      </c>
      <c r="R948" s="33">
        <v>23518</v>
      </c>
      <c r="S948" s="34">
        <v>42089</v>
      </c>
      <c r="T948" s="34">
        <v>42091</v>
      </c>
      <c r="U948" s="29">
        <v>-601.80399999999997</v>
      </c>
      <c r="V948" s="26">
        <v>10</v>
      </c>
      <c r="W948" s="29">
        <v>66.12</v>
      </c>
      <c r="X948" s="26">
        <v>88403</v>
      </c>
      <c r="Y948" s="35">
        <v>224.97</v>
      </c>
      <c r="Z948" s="1" t="s">
        <v>3011</v>
      </c>
      <c r="AA948" s="36">
        <v>5.3439999999999994</v>
      </c>
      <c r="AB948" s="54">
        <v>34.382400000000004</v>
      </c>
      <c r="AC948" s="54">
        <v>3.1737600000000001</v>
      </c>
      <c r="AD948" s="36">
        <v>661.07999999999993</v>
      </c>
    </row>
    <row r="949" spans="1:30" s="37" customFormat="1" ht="15.75" customHeight="1" x14ac:dyDescent="0.2">
      <c r="A949" s="26">
        <v>2419</v>
      </c>
      <c r="B949" s="27" t="s">
        <v>1875</v>
      </c>
      <c r="C949" s="27" t="s">
        <v>3094</v>
      </c>
      <c r="D949" s="28">
        <v>0.03</v>
      </c>
      <c r="E949" s="29">
        <v>7.84</v>
      </c>
      <c r="F949" s="29">
        <v>4.71</v>
      </c>
      <c r="G949" s="30" t="s">
        <v>39</v>
      </c>
      <c r="H949" s="27" t="s">
        <v>40</v>
      </c>
      <c r="I949" s="27" t="s">
        <v>49</v>
      </c>
      <c r="J949" s="27" t="s">
        <v>72</v>
      </c>
      <c r="K949" s="27" t="s">
        <v>73</v>
      </c>
      <c r="L949" s="31" t="s">
        <v>679</v>
      </c>
      <c r="M949" s="32">
        <v>0.35</v>
      </c>
      <c r="N949" s="27" t="s">
        <v>33</v>
      </c>
      <c r="O949" s="27" t="s">
        <v>34</v>
      </c>
      <c r="P949" s="27" t="s">
        <v>242</v>
      </c>
      <c r="Q949" s="27" t="s">
        <v>1877</v>
      </c>
      <c r="R949" s="33">
        <v>23701</v>
      </c>
      <c r="S949" s="34">
        <v>42089</v>
      </c>
      <c r="T949" s="34">
        <v>42092</v>
      </c>
      <c r="U949" s="29">
        <v>859.71780000000001</v>
      </c>
      <c r="V949" s="26">
        <v>7</v>
      </c>
      <c r="W949" s="29">
        <v>54.37</v>
      </c>
      <c r="X949" s="26">
        <v>86751</v>
      </c>
      <c r="Y949" s="35">
        <v>7.81</v>
      </c>
      <c r="Z949" s="1" t="s">
        <v>3011</v>
      </c>
      <c r="AA949" s="36">
        <v>1.6463999999999999</v>
      </c>
      <c r="AB949" s="54">
        <v>35.340499999999999</v>
      </c>
      <c r="AC949" s="54">
        <v>2.7184999999999997</v>
      </c>
      <c r="AD949" s="36">
        <v>-811.70420000000001</v>
      </c>
    </row>
    <row r="950" spans="1:30" s="37" customFormat="1" ht="15.75" customHeight="1" x14ac:dyDescent="0.2">
      <c r="A950" s="26">
        <v>2773</v>
      </c>
      <c r="B950" s="27" t="s">
        <v>1878</v>
      </c>
      <c r="C950" s="27" t="s">
        <v>3094</v>
      </c>
      <c r="D950" s="28">
        <v>0.1</v>
      </c>
      <c r="E950" s="29">
        <v>5.18</v>
      </c>
      <c r="F950" s="29">
        <v>5.74</v>
      </c>
      <c r="G950" s="30" t="s">
        <v>39</v>
      </c>
      <c r="H950" s="27" t="s">
        <v>94</v>
      </c>
      <c r="I950" s="27" t="s">
        <v>49</v>
      </c>
      <c r="J950" s="27" t="s">
        <v>72</v>
      </c>
      <c r="K950" s="27" t="s">
        <v>73</v>
      </c>
      <c r="L950" s="31" t="s">
        <v>850</v>
      </c>
      <c r="M950" s="32">
        <v>0.36</v>
      </c>
      <c r="N950" s="27" t="s">
        <v>33</v>
      </c>
      <c r="O950" s="27" t="s">
        <v>60</v>
      </c>
      <c r="P950" s="27" t="s">
        <v>90</v>
      </c>
      <c r="Q950" s="27" t="s">
        <v>1610</v>
      </c>
      <c r="R950" s="33">
        <v>94568</v>
      </c>
      <c r="S950" s="34">
        <v>42089</v>
      </c>
      <c r="T950" s="34">
        <v>42091</v>
      </c>
      <c r="U950" s="29">
        <v>-29.003</v>
      </c>
      <c r="V950" s="26">
        <v>2</v>
      </c>
      <c r="W950" s="29">
        <v>10.96</v>
      </c>
      <c r="X950" s="26">
        <v>91584</v>
      </c>
      <c r="Y950" s="35">
        <v>5.08</v>
      </c>
      <c r="Z950" s="1" t="s">
        <v>3013</v>
      </c>
      <c r="AA950" s="36">
        <v>1.036</v>
      </c>
      <c r="AB950" s="54">
        <v>7.0144000000000011</v>
      </c>
      <c r="AC950" s="54">
        <v>1.9728000000000001</v>
      </c>
      <c r="AD950" s="36">
        <v>33.186999999999998</v>
      </c>
    </row>
    <row r="951" spans="1:30" s="37" customFormat="1" ht="15.75" customHeight="1" x14ac:dyDescent="0.2">
      <c r="A951" s="26">
        <v>698</v>
      </c>
      <c r="B951" s="27" t="s">
        <v>1043</v>
      </c>
      <c r="C951" s="27" t="s">
        <v>116</v>
      </c>
      <c r="D951" s="28">
        <v>0.1</v>
      </c>
      <c r="E951" s="29">
        <v>175.99</v>
      </c>
      <c r="F951" s="29">
        <v>8.99</v>
      </c>
      <c r="G951" s="30" t="s">
        <v>39</v>
      </c>
      <c r="H951" s="27" t="s">
        <v>94</v>
      </c>
      <c r="I951" s="27" t="s">
        <v>41</v>
      </c>
      <c r="J951" s="27" t="s">
        <v>135</v>
      </c>
      <c r="K951" s="27" t="s">
        <v>73</v>
      </c>
      <c r="L951" s="31" t="s">
        <v>1179</v>
      </c>
      <c r="M951" s="32">
        <v>0.56999999999999995</v>
      </c>
      <c r="N951" s="27" t="s">
        <v>33</v>
      </c>
      <c r="O951" s="27" t="s">
        <v>60</v>
      </c>
      <c r="P951" s="27" t="s">
        <v>67</v>
      </c>
      <c r="Q951" s="27" t="s">
        <v>142</v>
      </c>
      <c r="R951" s="33">
        <v>98105</v>
      </c>
      <c r="S951" s="34">
        <v>42090</v>
      </c>
      <c r="T951" s="34">
        <v>42091</v>
      </c>
      <c r="U951" s="29">
        <v>930.98699999999997</v>
      </c>
      <c r="V951" s="26">
        <v>39</v>
      </c>
      <c r="W951" s="29">
        <v>5250.66</v>
      </c>
      <c r="X951" s="26">
        <v>32869</v>
      </c>
      <c r="Y951" s="35">
        <v>9.75</v>
      </c>
      <c r="Z951" s="1" t="s">
        <v>3013</v>
      </c>
      <c r="AA951" s="36">
        <v>686.36099999999999</v>
      </c>
      <c r="AB951" s="54">
        <v>2257.7838000000002</v>
      </c>
      <c r="AC951" s="54">
        <v>76.740415384615375</v>
      </c>
      <c r="AD951" s="36">
        <v>3624.3220000000001</v>
      </c>
    </row>
    <row r="952" spans="1:30" s="37" customFormat="1" ht="15.75" customHeight="1" x14ac:dyDescent="0.2">
      <c r="A952" s="26">
        <v>698</v>
      </c>
      <c r="B952" s="27" t="s">
        <v>1043</v>
      </c>
      <c r="C952" s="27" t="s">
        <v>116</v>
      </c>
      <c r="D952" s="28">
        <v>0.05</v>
      </c>
      <c r="E952" s="29">
        <v>51.65</v>
      </c>
      <c r="F952" s="29">
        <v>18.45</v>
      </c>
      <c r="G952" s="30" t="s">
        <v>39</v>
      </c>
      <c r="H952" s="27" t="s">
        <v>94</v>
      </c>
      <c r="I952" s="27" t="s">
        <v>29</v>
      </c>
      <c r="J952" s="27" t="s">
        <v>126</v>
      </c>
      <c r="K952" s="27" t="s">
        <v>144</v>
      </c>
      <c r="L952" s="31" t="s">
        <v>1885</v>
      </c>
      <c r="M952" s="32">
        <v>0.65</v>
      </c>
      <c r="N952" s="27" t="s">
        <v>33</v>
      </c>
      <c r="O952" s="27" t="s">
        <v>60</v>
      </c>
      <c r="P952" s="27" t="s">
        <v>67</v>
      </c>
      <c r="Q952" s="27" t="s">
        <v>142</v>
      </c>
      <c r="R952" s="33">
        <v>98105</v>
      </c>
      <c r="S952" s="34">
        <v>42090</v>
      </c>
      <c r="T952" s="34">
        <v>42091</v>
      </c>
      <c r="U952" s="29">
        <v>25.04</v>
      </c>
      <c r="V952" s="26">
        <v>49</v>
      </c>
      <c r="W952" s="29">
        <v>2470.84</v>
      </c>
      <c r="X952" s="26">
        <v>32869</v>
      </c>
      <c r="Y952" s="35">
        <v>125.94999999999999</v>
      </c>
      <c r="Z952" s="1" t="s">
        <v>3013</v>
      </c>
      <c r="AA952" s="36">
        <v>126.5425</v>
      </c>
      <c r="AB952" s="54">
        <v>864.79399999999998</v>
      </c>
      <c r="AC952" s="54">
        <v>32.776448979591841</v>
      </c>
      <c r="AD952" s="36">
        <v>2300.8075000000003</v>
      </c>
    </row>
    <row r="953" spans="1:30" s="37" customFormat="1" ht="15.75" customHeight="1" x14ac:dyDescent="0.2">
      <c r="A953" s="26">
        <v>1625</v>
      </c>
      <c r="B953" s="27" t="s">
        <v>1223</v>
      </c>
      <c r="C953" s="27" t="s">
        <v>116</v>
      </c>
      <c r="D953" s="28">
        <v>0.08</v>
      </c>
      <c r="E953" s="29">
        <v>213.45</v>
      </c>
      <c r="F953" s="29">
        <v>14.7</v>
      </c>
      <c r="G953" s="30" t="s">
        <v>27</v>
      </c>
      <c r="H953" s="27" t="s">
        <v>71</v>
      </c>
      <c r="I953" s="27" t="s">
        <v>41</v>
      </c>
      <c r="J953" s="27" t="s">
        <v>57</v>
      </c>
      <c r="K953" s="27" t="s">
        <v>58</v>
      </c>
      <c r="L953" s="31" t="s">
        <v>180</v>
      </c>
      <c r="M953" s="32">
        <v>0.59</v>
      </c>
      <c r="N953" s="27" t="s">
        <v>33</v>
      </c>
      <c r="O953" s="27" t="s">
        <v>111</v>
      </c>
      <c r="P953" s="27" t="s">
        <v>112</v>
      </c>
      <c r="Q953" s="27" t="s">
        <v>1225</v>
      </c>
      <c r="R953" s="33">
        <v>11542</v>
      </c>
      <c r="S953" s="34">
        <v>42090</v>
      </c>
      <c r="T953" s="34">
        <v>42092</v>
      </c>
      <c r="U953" s="29">
        <v>1674.7542000000001</v>
      </c>
      <c r="V953" s="26">
        <v>12</v>
      </c>
      <c r="W953" s="29">
        <v>2427.1799999999998</v>
      </c>
      <c r="X953" s="26">
        <v>90600</v>
      </c>
      <c r="Y953" s="35">
        <v>17.97</v>
      </c>
      <c r="Z953" s="1" t="s">
        <v>3014</v>
      </c>
      <c r="AA953" s="36">
        <v>204.91200000000001</v>
      </c>
      <c r="AB953" s="54">
        <v>995.14380000000006</v>
      </c>
      <c r="AC953" s="54">
        <v>119.33634999999998</v>
      </c>
      <c r="AD953" s="36">
        <v>532.81379999999967</v>
      </c>
    </row>
    <row r="954" spans="1:30" s="37" customFormat="1" ht="15.75" customHeight="1" x14ac:dyDescent="0.2">
      <c r="A954" s="26">
        <v>697</v>
      </c>
      <c r="B954" s="27" t="s">
        <v>1041</v>
      </c>
      <c r="C954" s="27" t="s">
        <v>116</v>
      </c>
      <c r="D954" s="28">
        <v>0.1</v>
      </c>
      <c r="E954" s="29">
        <v>175.99</v>
      </c>
      <c r="F954" s="29">
        <v>8.99</v>
      </c>
      <c r="G954" s="30" t="s">
        <v>39</v>
      </c>
      <c r="H954" s="27" t="s">
        <v>94</v>
      </c>
      <c r="I954" s="27" t="s">
        <v>41</v>
      </c>
      <c r="J954" s="27" t="s">
        <v>135</v>
      </c>
      <c r="K954" s="27" t="s">
        <v>73</v>
      </c>
      <c r="L954" s="31" t="s">
        <v>1179</v>
      </c>
      <c r="M954" s="32">
        <v>0.56999999999999995</v>
      </c>
      <c r="N954" s="27" t="s">
        <v>33</v>
      </c>
      <c r="O954" s="27" t="s">
        <v>53</v>
      </c>
      <c r="P954" s="27" t="s">
        <v>54</v>
      </c>
      <c r="Q954" s="27" t="s">
        <v>1042</v>
      </c>
      <c r="R954" s="33">
        <v>46312</v>
      </c>
      <c r="S954" s="34">
        <v>42090</v>
      </c>
      <c r="T954" s="34">
        <v>42091</v>
      </c>
      <c r="U954" s="29">
        <v>928.96079999999995</v>
      </c>
      <c r="V954" s="26">
        <v>10</v>
      </c>
      <c r="W954" s="29">
        <v>1346.32</v>
      </c>
      <c r="X954" s="26">
        <v>89847</v>
      </c>
      <c r="Y954" s="35">
        <v>28.5</v>
      </c>
      <c r="Z954" s="1" t="s">
        <v>3012</v>
      </c>
      <c r="AA954" s="36">
        <v>175.99</v>
      </c>
      <c r="AB954" s="54">
        <v>578.91759999999999</v>
      </c>
      <c r="AC954" s="54">
        <v>76.74024</v>
      </c>
      <c r="AD954" s="36">
        <v>232.37920000000008</v>
      </c>
    </row>
    <row r="955" spans="1:30" s="37" customFormat="1" ht="15.75" customHeight="1" x14ac:dyDescent="0.2">
      <c r="A955" s="26">
        <v>2059</v>
      </c>
      <c r="B955" s="27" t="s">
        <v>616</v>
      </c>
      <c r="C955" s="27" t="s">
        <v>26</v>
      </c>
      <c r="D955" s="28">
        <v>0.04</v>
      </c>
      <c r="E955" s="29">
        <v>125.99</v>
      </c>
      <c r="F955" s="29">
        <v>7.69</v>
      </c>
      <c r="G955" s="30" t="s">
        <v>39</v>
      </c>
      <c r="H955" s="27" t="s">
        <v>94</v>
      </c>
      <c r="I955" s="27" t="s">
        <v>41</v>
      </c>
      <c r="J955" s="27" t="s">
        <v>135</v>
      </c>
      <c r="K955" s="27" t="s">
        <v>73</v>
      </c>
      <c r="L955" s="31" t="s">
        <v>1049</v>
      </c>
      <c r="M955" s="32">
        <v>0.57999999999999996</v>
      </c>
      <c r="N955" s="27" t="s">
        <v>33</v>
      </c>
      <c r="O955" s="27" t="s">
        <v>34</v>
      </c>
      <c r="P955" s="27" t="s">
        <v>97</v>
      </c>
      <c r="Q955" s="27" t="s">
        <v>617</v>
      </c>
      <c r="R955" s="33">
        <v>27260</v>
      </c>
      <c r="S955" s="34">
        <v>42090</v>
      </c>
      <c r="T955" s="34">
        <v>42091</v>
      </c>
      <c r="U955" s="29">
        <v>-528.83600000000001</v>
      </c>
      <c r="V955" s="26">
        <v>9</v>
      </c>
      <c r="W955" s="29">
        <v>934.52</v>
      </c>
      <c r="X955" s="26">
        <v>88041</v>
      </c>
      <c r="Y955" s="35">
        <v>15.27</v>
      </c>
      <c r="Z955" s="1" t="s">
        <v>3011</v>
      </c>
      <c r="AA955" s="36">
        <v>45.356400000000001</v>
      </c>
      <c r="AB955" s="54">
        <v>392.4984</v>
      </c>
      <c r="AC955" s="54">
        <v>60.224622222222223</v>
      </c>
      <c r="AD955" s="36">
        <v>1410.3096</v>
      </c>
    </row>
    <row r="956" spans="1:30" s="37" customFormat="1" ht="15.75" customHeight="1" x14ac:dyDescent="0.2">
      <c r="A956" s="26">
        <v>696</v>
      </c>
      <c r="B956" s="27" t="s">
        <v>1883</v>
      </c>
      <c r="C956" s="27" t="s">
        <v>116</v>
      </c>
      <c r="D956" s="28">
        <v>0.05</v>
      </c>
      <c r="E956" s="29">
        <v>51.65</v>
      </c>
      <c r="F956" s="29">
        <v>18.45</v>
      </c>
      <c r="G956" s="30" t="s">
        <v>39</v>
      </c>
      <c r="H956" s="27" t="s">
        <v>94</v>
      </c>
      <c r="I956" s="27" t="s">
        <v>29</v>
      </c>
      <c r="J956" s="27" t="s">
        <v>126</v>
      </c>
      <c r="K956" s="27" t="s">
        <v>144</v>
      </c>
      <c r="L956" s="31" t="s">
        <v>1885</v>
      </c>
      <c r="M956" s="32">
        <v>0.65</v>
      </c>
      <c r="N956" s="27" t="s">
        <v>33</v>
      </c>
      <c r="O956" s="27" t="s">
        <v>53</v>
      </c>
      <c r="P956" s="27" t="s">
        <v>54</v>
      </c>
      <c r="Q956" s="27" t="s">
        <v>1884</v>
      </c>
      <c r="R956" s="33">
        <v>46307</v>
      </c>
      <c r="S956" s="34">
        <v>42090</v>
      </c>
      <c r="T956" s="34">
        <v>42091</v>
      </c>
      <c r="U956" s="29">
        <v>25.04</v>
      </c>
      <c r="V956" s="26">
        <v>12</v>
      </c>
      <c r="W956" s="29">
        <v>605.1</v>
      </c>
      <c r="X956" s="26">
        <v>89847</v>
      </c>
      <c r="Y956" s="35">
        <v>15.88</v>
      </c>
      <c r="Z956" s="1" t="s">
        <v>3012</v>
      </c>
      <c r="AA956" s="36">
        <v>30.990000000000002</v>
      </c>
      <c r="AB956" s="54">
        <v>211.785</v>
      </c>
      <c r="AC956" s="54">
        <v>32.776250000000005</v>
      </c>
      <c r="AD956" s="36">
        <v>530.62</v>
      </c>
    </row>
    <row r="957" spans="1:30" s="37" customFormat="1" ht="15.75" customHeight="1" x14ac:dyDescent="0.2">
      <c r="A957" s="26">
        <v>1072</v>
      </c>
      <c r="B957" s="27" t="s">
        <v>1889</v>
      </c>
      <c r="C957" s="27" t="s">
        <v>3094</v>
      </c>
      <c r="D957" s="28">
        <v>0.01</v>
      </c>
      <c r="E957" s="29">
        <v>150.88999999999999</v>
      </c>
      <c r="F957" s="29">
        <v>60.2</v>
      </c>
      <c r="G957" s="30" t="s">
        <v>27</v>
      </c>
      <c r="H957" s="27" t="s">
        <v>94</v>
      </c>
      <c r="I957" s="27" t="s">
        <v>29</v>
      </c>
      <c r="J957" s="27" t="s">
        <v>109</v>
      </c>
      <c r="K957" s="27" t="s">
        <v>58</v>
      </c>
      <c r="L957" s="31" t="s">
        <v>1303</v>
      </c>
      <c r="M957" s="32">
        <v>0.77</v>
      </c>
      <c r="N957" s="27" t="s">
        <v>33</v>
      </c>
      <c r="O957" s="27" t="s">
        <v>111</v>
      </c>
      <c r="P957" s="27" t="s">
        <v>320</v>
      </c>
      <c r="Q957" s="27" t="s">
        <v>1890</v>
      </c>
      <c r="R957" s="33">
        <v>18018</v>
      </c>
      <c r="S957" s="34">
        <v>42090</v>
      </c>
      <c r="T957" s="34">
        <v>42093</v>
      </c>
      <c r="U957" s="29">
        <v>-505.76</v>
      </c>
      <c r="V957" s="26">
        <v>3</v>
      </c>
      <c r="W957" s="29">
        <v>473.53</v>
      </c>
      <c r="X957" s="26">
        <v>89631</v>
      </c>
      <c r="Y957" s="35">
        <v>8.0599999999999987</v>
      </c>
      <c r="Z957" s="1" t="s">
        <v>3014</v>
      </c>
      <c r="AA957" s="36">
        <v>4.5266999999999999</v>
      </c>
      <c r="AB957" s="54">
        <v>108.91189999999999</v>
      </c>
      <c r="AC957" s="54">
        <v>121.53936666666667</v>
      </c>
      <c r="AD957" s="36">
        <v>914.56330000000003</v>
      </c>
    </row>
    <row r="958" spans="1:30" s="37" customFormat="1" ht="15.75" customHeight="1" x14ac:dyDescent="0.2">
      <c r="A958" s="26">
        <v>1625</v>
      </c>
      <c r="B958" s="27" t="s">
        <v>1223</v>
      </c>
      <c r="C958" s="27" t="s">
        <v>116</v>
      </c>
      <c r="D958" s="28">
        <v>0.1</v>
      </c>
      <c r="E958" s="29">
        <v>55.98</v>
      </c>
      <c r="F958" s="29">
        <v>13.88</v>
      </c>
      <c r="G958" s="30" t="s">
        <v>39</v>
      </c>
      <c r="H958" s="27" t="s">
        <v>71</v>
      </c>
      <c r="I958" s="27" t="s">
        <v>49</v>
      </c>
      <c r="J958" s="27" t="s">
        <v>88</v>
      </c>
      <c r="K958" s="27" t="s">
        <v>73</v>
      </c>
      <c r="L958" s="31" t="s">
        <v>1886</v>
      </c>
      <c r="M958" s="32">
        <v>0.36</v>
      </c>
      <c r="N958" s="27" t="s">
        <v>33</v>
      </c>
      <c r="O958" s="27" t="s">
        <v>111</v>
      </c>
      <c r="P958" s="27" t="s">
        <v>112</v>
      </c>
      <c r="Q958" s="27" t="s">
        <v>1225</v>
      </c>
      <c r="R958" s="33">
        <v>11542</v>
      </c>
      <c r="S958" s="34">
        <v>42090</v>
      </c>
      <c r="T958" s="34">
        <v>42092</v>
      </c>
      <c r="U958" s="29">
        <v>300.04649999999998</v>
      </c>
      <c r="V958" s="26">
        <v>8</v>
      </c>
      <c r="W958" s="29">
        <v>434.85</v>
      </c>
      <c r="X958" s="26">
        <v>90600</v>
      </c>
      <c r="Y958" s="35">
        <v>51.6</v>
      </c>
      <c r="Z958" s="1" t="s">
        <v>3014</v>
      </c>
      <c r="AA958" s="36">
        <v>44.783999999999999</v>
      </c>
      <c r="AB958" s="54">
        <v>278.30400000000003</v>
      </c>
      <c r="AC958" s="54">
        <v>19.568249999999999</v>
      </c>
      <c r="AD958" s="36">
        <v>76.139500000000055</v>
      </c>
    </row>
    <row r="959" spans="1:30" s="37" customFormat="1" ht="15.75" customHeight="1" x14ac:dyDescent="0.2">
      <c r="A959" s="26">
        <v>698</v>
      </c>
      <c r="B959" s="27" t="s">
        <v>1043</v>
      </c>
      <c r="C959" s="27" t="s">
        <v>116</v>
      </c>
      <c r="D959" s="28">
        <v>0.06</v>
      </c>
      <c r="E959" s="29">
        <v>8.1199999999999992</v>
      </c>
      <c r="F959" s="29">
        <v>2.83</v>
      </c>
      <c r="G959" s="30" t="s">
        <v>39</v>
      </c>
      <c r="H959" s="27" t="s">
        <v>94</v>
      </c>
      <c r="I959" s="27" t="s">
        <v>41</v>
      </c>
      <c r="J959" s="27" t="s">
        <v>42</v>
      </c>
      <c r="K959" s="27" t="s">
        <v>43</v>
      </c>
      <c r="L959" s="31" t="s">
        <v>1698</v>
      </c>
      <c r="M959" s="32">
        <v>0.77</v>
      </c>
      <c r="N959" s="27" t="s">
        <v>33</v>
      </c>
      <c r="O959" s="27" t="s">
        <v>60</v>
      </c>
      <c r="P959" s="27" t="s">
        <v>67</v>
      </c>
      <c r="Q959" s="27" t="s">
        <v>142</v>
      </c>
      <c r="R959" s="33">
        <v>98105</v>
      </c>
      <c r="S959" s="34">
        <v>42090</v>
      </c>
      <c r="T959" s="34">
        <v>42091</v>
      </c>
      <c r="U959" s="29">
        <v>-82.83</v>
      </c>
      <c r="V959" s="26">
        <v>41</v>
      </c>
      <c r="W959" s="29">
        <v>322.02999999999997</v>
      </c>
      <c r="X959" s="26">
        <v>32869</v>
      </c>
      <c r="Y959" s="35">
        <v>175.89000000000001</v>
      </c>
      <c r="Z959" s="1" t="s">
        <v>3013</v>
      </c>
      <c r="AA959" s="36">
        <v>19.975199999999997</v>
      </c>
      <c r="AB959" s="54">
        <v>74.06689999999999</v>
      </c>
      <c r="AC959" s="54">
        <v>6.0478804878048775</v>
      </c>
      <c r="AD959" s="36">
        <v>382.0548</v>
      </c>
    </row>
    <row r="960" spans="1:30" s="37" customFormat="1" ht="15.75" customHeight="1" x14ac:dyDescent="0.2">
      <c r="A960" s="26">
        <v>1481</v>
      </c>
      <c r="B960" s="27" t="s">
        <v>1891</v>
      </c>
      <c r="C960" s="27" t="s">
        <v>3094</v>
      </c>
      <c r="D960" s="28">
        <v>7.0000000000000007E-2</v>
      </c>
      <c r="E960" s="29">
        <v>8.9499999999999993</v>
      </c>
      <c r="F960" s="29">
        <v>2.0099999999999998</v>
      </c>
      <c r="G960" s="30" t="s">
        <v>39</v>
      </c>
      <c r="H960" s="27" t="s">
        <v>94</v>
      </c>
      <c r="I960" s="27" t="s">
        <v>49</v>
      </c>
      <c r="J960" s="27" t="s">
        <v>88</v>
      </c>
      <c r="K960" s="27" t="s">
        <v>51</v>
      </c>
      <c r="L960" s="31" t="s">
        <v>1892</v>
      </c>
      <c r="M960" s="32">
        <v>0.39</v>
      </c>
      <c r="N960" s="27" t="s">
        <v>33</v>
      </c>
      <c r="O960" s="27" t="s">
        <v>60</v>
      </c>
      <c r="P960" s="27" t="s">
        <v>90</v>
      </c>
      <c r="Q960" s="27" t="s">
        <v>100</v>
      </c>
      <c r="R960" s="33">
        <v>90049</v>
      </c>
      <c r="S960" s="34">
        <v>42090</v>
      </c>
      <c r="T960" s="34">
        <v>42091</v>
      </c>
      <c r="U960" s="29">
        <v>91.73</v>
      </c>
      <c r="V960" s="26">
        <v>36</v>
      </c>
      <c r="W960" s="29">
        <v>307.64999999999998</v>
      </c>
      <c r="X960" s="26">
        <v>53953</v>
      </c>
      <c r="Y960" s="35">
        <v>8.0599999999999987</v>
      </c>
      <c r="Z960" s="1" t="s">
        <v>3013</v>
      </c>
      <c r="AA960" s="36">
        <v>22.554000000000002</v>
      </c>
      <c r="AB960" s="54">
        <v>187.66649999999998</v>
      </c>
      <c r="AC960" s="54">
        <v>3.3328749999999996</v>
      </c>
      <c r="AD960" s="36">
        <v>191.35599999999997</v>
      </c>
    </row>
    <row r="961" spans="1:30" s="37" customFormat="1" ht="15.75" customHeight="1" x14ac:dyDescent="0.2">
      <c r="A961" s="26">
        <v>234</v>
      </c>
      <c r="B961" s="27" t="s">
        <v>985</v>
      </c>
      <c r="C961" s="27" t="s">
        <v>38</v>
      </c>
      <c r="D961" s="28">
        <v>0.03</v>
      </c>
      <c r="E961" s="29">
        <v>28.53</v>
      </c>
      <c r="F961" s="29">
        <v>1.49</v>
      </c>
      <c r="G961" s="30" t="s">
        <v>39</v>
      </c>
      <c r="H961" s="27" t="s">
        <v>3095</v>
      </c>
      <c r="I961" s="27" t="s">
        <v>49</v>
      </c>
      <c r="J961" s="27" t="s">
        <v>72</v>
      </c>
      <c r="K961" s="27" t="s">
        <v>73</v>
      </c>
      <c r="L961" s="31" t="s">
        <v>1832</v>
      </c>
      <c r="M961" s="32">
        <v>0.38</v>
      </c>
      <c r="N961" s="27" t="s">
        <v>33</v>
      </c>
      <c r="O961" s="27" t="s">
        <v>53</v>
      </c>
      <c r="P961" s="27" t="s">
        <v>213</v>
      </c>
      <c r="Q961" s="27" t="s">
        <v>737</v>
      </c>
      <c r="R961" s="33">
        <v>50208</v>
      </c>
      <c r="S961" s="34">
        <v>42090</v>
      </c>
      <c r="T961" s="34">
        <v>42092</v>
      </c>
      <c r="U961" s="29">
        <v>136.33709999999999</v>
      </c>
      <c r="V961" s="26">
        <v>7</v>
      </c>
      <c r="W961" s="29">
        <v>197.59</v>
      </c>
      <c r="X961" s="26">
        <v>90238</v>
      </c>
      <c r="Y961" s="35">
        <v>51.6</v>
      </c>
      <c r="Z961" s="1" t="s">
        <v>3012</v>
      </c>
      <c r="AA961" s="36">
        <v>5.9912999999999998</v>
      </c>
      <c r="AB961" s="54">
        <v>122.50580000000001</v>
      </c>
      <c r="AC961" s="54">
        <v>10.726314285714286</v>
      </c>
      <c r="AD961" s="36">
        <v>53.771600000000007</v>
      </c>
    </row>
    <row r="962" spans="1:30" s="37" customFormat="1" ht="15.75" customHeight="1" x14ac:dyDescent="0.2">
      <c r="A962" s="26">
        <v>920</v>
      </c>
      <c r="B962" s="27" t="s">
        <v>1881</v>
      </c>
      <c r="C962" s="27" t="s">
        <v>48</v>
      </c>
      <c r="D962" s="28">
        <v>0.1</v>
      </c>
      <c r="E962" s="29">
        <v>15.98</v>
      </c>
      <c r="F962" s="29">
        <v>4</v>
      </c>
      <c r="G962" s="30" t="s">
        <v>39</v>
      </c>
      <c r="H962" s="27" t="s">
        <v>94</v>
      </c>
      <c r="I962" s="27" t="s">
        <v>41</v>
      </c>
      <c r="J962" s="27" t="s">
        <v>42</v>
      </c>
      <c r="K962" s="27" t="s">
        <v>73</v>
      </c>
      <c r="L962" s="31" t="s">
        <v>1882</v>
      </c>
      <c r="M962" s="32">
        <v>0.37</v>
      </c>
      <c r="N962" s="27" t="s">
        <v>33</v>
      </c>
      <c r="O962" s="27" t="s">
        <v>60</v>
      </c>
      <c r="P962" s="27" t="s">
        <v>90</v>
      </c>
      <c r="Q962" s="27" t="s">
        <v>1229</v>
      </c>
      <c r="R962" s="33">
        <v>92374</v>
      </c>
      <c r="S962" s="34">
        <v>42090</v>
      </c>
      <c r="T962" s="34">
        <v>42095</v>
      </c>
      <c r="U962" s="29">
        <v>92.722200000000001</v>
      </c>
      <c r="V962" s="26">
        <v>9</v>
      </c>
      <c r="W962" s="29">
        <v>134.38</v>
      </c>
      <c r="X962" s="26">
        <v>90491</v>
      </c>
      <c r="Y962" s="35">
        <v>175.89000000000001</v>
      </c>
      <c r="Z962" s="1" t="s">
        <v>3013</v>
      </c>
      <c r="AA962" s="36">
        <v>14.382000000000001</v>
      </c>
      <c r="AB962" s="54">
        <v>84.659399999999991</v>
      </c>
      <c r="AC962" s="54">
        <v>5.5245111111111109</v>
      </c>
      <c r="AD962" s="36">
        <v>23.27579999999999</v>
      </c>
    </row>
    <row r="963" spans="1:30" s="37" customFormat="1" ht="15.75" customHeight="1" x14ac:dyDescent="0.2">
      <c r="A963" s="26">
        <v>1917</v>
      </c>
      <c r="B963" s="27" t="s">
        <v>1456</v>
      </c>
      <c r="C963" s="27" t="s">
        <v>116</v>
      </c>
      <c r="D963" s="28">
        <v>0.08</v>
      </c>
      <c r="E963" s="29">
        <v>18.7</v>
      </c>
      <c r="F963" s="29">
        <v>8.99</v>
      </c>
      <c r="G963" s="30" t="s">
        <v>39</v>
      </c>
      <c r="H963" s="27" t="s">
        <v>71</v>
      </c>
      <c r="I963" s="27" t="s">
        <v>29</v>
      </c>
      <c r="J963" s="27" t="s">
        <v>126</v>
      </c>
      <c r="K963" s="27" t="s">
        <v>43</v>
      </c>
      <c r="L963" s="31" t="s">
        <v>1888</v>
      </c>
      <c r="M963" s="32">
        <v>0.47</v>
      </c>
      <c r="N963" s="27" t="s">
        <v>33</v>
      </c>
      <c r="O963" s="27" t="s">
        <v>34</v>
      </c>
      <c r="P963" s="27" t="s">
        <v>45</v>
      </c>
      <c r="Q963" s="27" t="s">
        <v>1458</v>
      </c>
      <c r="R963" s="33">
        <v>72113</v>
      </c>
      <c r="S963" s="34">
        <v>42090</v>
      </c>
      <c r="T963" s="34">
        <v>42091</v>
      </c>
      <c r="U963" s="29">
        <v>16.136399999999998</v>
      </c>
      <c r="V963" s="26">
        <v>7</v>
      </c>
      <c r="W963" s="29">
        <v>132.22999999999999</v>
      </c>
      <c r="X963" s="26">
        <v>85894</v>
      </c>
      <c r="Y963" s="35">
        <v>213.36999999999998</v>
      </c>
      <c r="Z963" s="1" t="s">
        <v>3011</v>
      </c>
      <c r="AA963" s="36">
        <v>10.472</v>
      </c>
      <c r="AB963" s="54">
        <v>70.081900000000005</v>
      </c>
      <c r="AC963" s="54">
        <v>8.8782999999999976</v>
      </c>
      <c r="AD963" s="36">
        <v>96.631599999999992</v>
      </c>
    </row>
    <row r="964" spans="1:30" s="37" customFormat="1" ht="15.75" customHeight="1" x14ac:dyDescent="0.2">
      <c r="A964" s="26">
        <v>2059</v>
      </c>
      <c r="B964" s="27" t="s">
        <v>616</v>
      </c>
      <c r="C964" s="27" t="s">
        <v>26</v>
      </c>
      <c r="D964" s="28">
        <v>0.1</v>
      </c>
      <c r="E964" s="29">
        <v>9.85</v>
      </c>
      <c r="F964" s="29">
        <v>4.82</v>
      </c>
      <c r="G964" s="30" t="s">
        <v>39</v>
      </c>
      <c r="H964" s="27" t="s">
        <v>94</v>
      </c>
      <c r="I964" s="27" t="s">
        <v>49</v>
      </c>
      <c r="J964" s="27" t="s">
        <v>50</v>
      </c>
      <c r="K964" s="27" t="s">
        <v>51</v>
      </c>
      <c r="L964" s="31" t="s">
        <v>1879</v>
      </c>
      <c r="M964" s="32">
        <v>0.47</v>
      </c>
      <c r="N964" s="27" t="s">
        <v>33</v>
      </c>
      <c r="O964" s="27" t="s">
        <v>34</v>
      </c>
      <c r="P964" s="27" t="s">
        <v>97</v>
      </c>
      <c r="Q964" s="27" t="s">
        <v>617</v>
      </c>
      <c r="R964" s="33">
        <v>27260</v>
      </c>
      <c r="S964" s="34">
        <v>42090</v>
      </c>
      <c r="T964" s="34">
        <v>42091</v>
      </c>
      <c r="U964" s="29">
        <v>374.904</v>
      </c>
      <c r="V964" s="26">
        <v>12</v>
      </c>
      <c r="W964" s="29">
        <v>114.91</v>
      </c>
      <c r="X964" s="26">
        <v>88041</v>
      </c>
      <c r="Y964" s="35">
        <v>55.879999999999995</v>
      </c>
      <c r="Z964" s="1" t="s">
        <v>3011</v>
      </c>
      <c r="AA964" s="36">
        <v>11.82</v>
      </c>
      <c r="AB964" s="54">
        <v>60.902300000000004</v>
      </c>
      <c r="AC964" s="54">
        <v>4.5006416666666667</v>
      </c>
      <c r="AD964" s="36">
        <v>-276.63400000000001</v>
      </c>
    </row>
    <row r="965" spans="1:30" s="37" customFormat="1" ht="15.75" customHeight="1" x14ac:dyDescent="0.2">
      <c r="A965" s="26">
        <v>696</v>
      </c>
      <c r="B965" s="27" t="s">
        <v>1883</v>
      </c>
      <c r="C965" s="27" t="s">
        <v>116</v>
      </c>
      <c r="D965" s="28">
        <v>0.06</v>
      </c>
      <c r="E965" s="29">
        <v>8.1199999999999992</v>
      </c>
      <c r="F965" s="29">
        <v>2.83</v>
      </c>
      <c r="G965" s="30" t="s">
        <v>39</v>
      </c>
      <c r="H965" s="27" t="s">
        <v>94</v>
      </c>
      <c r="I965" s="27" t="s">
        <v>41</v>
      </c>
      <c r="J965" s="27" t="s">
        <v>42</v>
      </c>
      <c r="K965" s="27" t="s">
        <v>43</v>
      </c>
      <c r="L965" s="31" t="s">
        <v>1698</v>
      </c>
      <c r="M965" s="32">
        <v>0.77</v>
      </c>
      <c r="N965" s="27" t="s">
        <v>33</v>
      </c>
      <c r="O965" s="27" t="s">
        <v>53</v>
      </c>
      <c r="P965" s="27" t="s">
        <v>54</v>
      </c>
      <c r="Q965" s="27" t="s">
        <v>1884</v>
      </c>
      <c r="R965" s="33">
        <v>46307</v>
      </c>
      <c r="S965" s="34">
        <v>42090</v>
      </c>
      <c r="T965" s="34">
        <v>42091</v>
      </c>
      <c r="U965" s="29">
        <v>-82.83</v>
      </c>
      <c r="V965" s="26">
        <v>10</v>
      </c>
      <c r="W965" s="29">
        <v>78.540000000000006</v>
      </c>
      <c r="X965" s="26">
        <v>89847</v>
      </c>
      <c r="Y965" s="35">
        <v>16.059999999999999</v>
      </c>
      <c r="Z965" s="1" t="s">
        <v>3012</v>
      </c>
      <c r="AA965" s="36">
        <v>4.871999999999999</v>
      </c>
      <c r="AB965" s="54">
        <v>18.0642</v>
      </c>
      <c r="AC965" s="54">
        <v>6.0475800000000008</v>
      </c>
      <c r="AD965" s="36">
        <v>153.66800000000001</v>
      </c>
    </row>
    <row r="966" spans="1:30" s="37" customFormat="1" ht="15.75" customHeight="1" x14ac:dyDescent="0.2">
      <c r="A966" s="26">
        <v>1482</v>
      </c>
      <c r="B966" s="27" t="s">
        <v>1438</v>
      </c>
      <c r="C966" s="27" t="s">
        <v>3094</v>
      </c>
      <c r="D966" s="28">
        <v>7.0000000000000007E-2</v>
      </c>
      <c r="E966" s="29">
        <v>8.9499999999999993</v>
      </c>
      <c r="F966" s="29">
        <v>2.0099999999999998</v>
      </c>
      <c r="G966" s="30" t="s">
        <v>39</v>
      </c>
      <c r="H966" s="27" t="s">
        <v>94</v>
      </c>
      <c r="I966" s="27" t="s">
        <v>49</v>
      </c>
      <c r="J966" s="27" t="s">
        <v>88</v>
      </c>
      <c r="K966" s="27" t="s">
        <v>51</v>
      </c>
      <c r="L966" s="31" t="s">
        <v>1892</v>
      </c>
      <c r="M966" s="32">
        <v>0.39</v>
      </c>
      <c r="N966" s="27" t="s">
        <v>33</v>
      </c>
      <c r="O966" s="27" t="s">
        <v>53</v>
      </c>
      <c r="P966" s="27" t="s">
        <v>289</v>
      </c>
      <c r="Q966" s="27" t="s">
        <v>994</v>
      </c>
      <c r="R966" s="33">
        <v>48708</v>
      </c>
      <c r="S966" s="34">
        <v>42090</v>
      </c>
      <c r="T966" s="34">
        <v>42091</v>
      </c>
      <c r="U966" s="29">
        <v>53.067900000000002</v>
      </c>
      <c r="V966" s="26">
        <v>9</v>
      </c>
      <c r="W966" s="29">
        <v>76.91</v>
      </c>
      <c r="X966" s="26">
        <v>91362</v>
      </c>
      <c r="Y966" s="35">
        <v>18.62</v>
      </c>
      <c r="Z966" s="1" t="s">
        <v>3012</v>
      </c>
      <c r="AA966" s="36">
        <v>5.6385000000000005</v>
      </c>
      <c r="AB966" s="54">
        <v>46.915099999999995</v>
      </c>
      <c r="AC966" s="54">
        <v>3.3327666666666667</v>
      </c>
      <c r="AD966" s="36">
        <v>16.193599999999996</v>
      </c>
    </row>
    <row r="967" spans="1:30" s="37" customFormat="1" ht="15.75" customHeight="1" x14ac:dyDescent="0.2">
      <c r="A967" s="26">
        <v>3354</v>
      </c>
      <c r="B967" s="27" t="s">
        <v>1893</v>
      </c>
      <c r="C967" s="27" t="s">
        <v>3094</v>
      </c>
      <c r="D967" s="28">
        <v>0.04</v>
      </c>
      <c r="E967" s="29">
        <v>3.69</v>
      </c>
      <c r="F967" s="29">
        <v>0.5</v>
      </c>
      <c r="G967" s="30" t="s">
        <v>39</v>
      </c>
      <c r="H967" s="27" t="s">
        <v>94</v>
      </c>
      <c r="I967" s="27" t="s">
        <v>49</v>
      </c>
      <c r="J967" s="27" t="s">
        <v>152</v>
      </c>
      <c r="K967" s="27" t="s">
        <v>73</v>
      </c>
      <c r="L967" s="31" t="s">
        <v>1894</v>
      </c>
      <c r="M967" s="32">
        <v>0.38</v>
      </c>
      <c r="N967" s="27" t="s">
        <v>33</v>
      </c>
      <c r="O967" s="27" t="s">
        <v>60</v>
      </c>
      <c r="P967" s="27" t="s">
        <v>90</v>
      </c>
      <c r="Q967" s="27" t="s">
        <v>1895</v>
      </c>
      <c r="R967" s="33">
        <v>92231</v>
      </c>
      <c r="S967" s="34">
        <v>42090</v>
      </c>
      <c r="T967" s="34">
        <v>42092</v>
      </c>
      <c r="U967" s="29">
        <v>47.527200000000001</v>
      </c>
      <c r="V967" s="26">
        <v>19</v>
      </c>
      <c r="W967" s="29">
        <v>68.88</v>
      </c>
      <c r="X967" s="26">
        <v>88590</v>
      </c>
      <c r="Y967" s="35">
        <v>150.88</v>
      </c>
      <c r="Z967" s="1" t="s">
        <v>3013</v>
      </c>
      <c r="AA967" s="36">
        <v>2.8044000000000002</v>
      </c>
      <c r="AB967" s="54">
        <v>42.705599999999997</v>
      </c>
      <c r="AC967" s="54">
        <v>1.3775999999999999</v>
      </c>
      <c r="AD967" s="36">
        <v>18.048399999999994</v>
      </c>
    </row>
    <row r="968" spans="1:30" s="37" customFormat="1" ht="15.75" customHeight="1" x14ac:dyDescent="0.2">
      <c r="A968" s="26">
        <v>32</v>
      </c>
      <c r="B968" s="27" t="s">
        <v>644</v>
      </c>
      <c r="C968" s="27" t="s">
        <v>38</v>
      </c>
      <c r="D968" s="28">
        <v>0.01</v>
      </c>
      <c r="E968" s="29">
        <v>17.98</v>
      </c>
      <c r="F968" s="29">
        <v>8.51</v>
      </c>
      <c r="G968" s="30" t="s">
        <v>39</v>
      </c>
      <c r="H968" s="27" t="s">
        <v>94</v>
      </c>
      <c r="I968" s="27" t="s">
        <v>41</v>
      </c>
      <c r="J968" s="27" t="s">
        <v>57</v>
      </c>
      <c r="K968" s="27" t="s">
        <v>144</v>
      </c>
      <c r="L968" s="31" t="s">
        <v>1880</v>
      </c>
      <c r="M968" s="32">
        <v>0.4</v>
      </c>
      <c r="N968" s="27" t="s">
        <v>33</v>
      </c>
      <c r="O968" s="27" t="s">
        <v>60</v>
      </c>
      <c r="P968" s="27" t="s">
        <v>139</v>
      </c>
      <c r="Q968" s="27" t="s">
        <v>646</v>
      </c>
      <c r="R968" s="33">
        <v>97526</v>
      </c>
      <c r="S968" s="34">
        <v>42090</v>
      </c>
      <c r="T968" s="34">
        <v>42091</v>
      </c>
      <c r="U968" s="29">
        <v>-35.878799999999998</v>
      </c>
      <c r="V968" s="26">
        <v>2</v>
      </c>
      <c r="W968" s="29">
        <v>40.17</v>
      </c>
      <c r="X968" s="26">
        <v>89200</v>
      </c>
      <c r="Y968" s="35">
        <v>8.879999999999999</v>
      </c>
      <c r="Z968" s="1" t="s">
        <v>3013</v>
      </c>
      <c r="AA968" s="36">
        <v>0.35960000000000003</v>
      </c>
      <c r="AB968" s="54">
        <v>24.102</v>
      </c>
      <c r="AC968" s="54">
        <v>8.0340000000000007</v>
      </c>
      <c r="AD968" s="36">
        <v>67.179200000000009</v>
      </c>
    </row>
    <row r="969" spans="1:30" s="37" customFormat="1" ht="15.75" customHeight="1" x14ac:dyDescent="0.2">
      <c r="A969" s="26">
        <v>234</v>
      </c>
      <c r="B969" s="27" t="s">
        <v>985</v>
      </c>
      <c r="C969" s="27" t="s">
        <v>38</v>
      </c>
      <c r="D969" s="28">
        <v>0.01</v>
      </c>
      <c r="E969" s="29">
        <v>15.28</v>
      </c>
      <c r="F969" s="29">
        <v>1.99</v>
      </c>
      <c r="G969" s="30" t="s">
        <v>39</v>
      </c>
      <c r="H969" s="27" t="s">
        <v>3095</v>
      </c>
      <c r="I969" s="27" t="s">
        <v>41</v>
      </c>
      <c r="J969" s="27" t="s">
        <v>42</v>
      </c>
      <c r="K969" s="27" t="s">
        <v>43</v>
      </c>
      <c r="L969" s="31" t="s">
        <v>512</v>
      </c>
      <c r="M969" s="32">
        <v>0.42</v>
      </c>
      <c r="N969" s="27" t="s">
        <v>33</v>
      </c>
      <c r="O969" s="27" t="s">
        <v>53</v>
      </c>
      <c r="P969" s="27" t="s">
        <v>213</v>
      </c>
      <c r="Q969" s="27" t="s">
        <v>737</v>
      </c>
      <c r="R969" s="33">
        <v>50208</v>
      </c>
      <c r="S969" s="34">
        <v>42090</v>
      </c>
      <c r="T969" s="34">
        <v>42092</v>
      </c>
      <c r="U969" s="29">
        <v>-12.46</v>
      </c>
      <c r="V969" s="26">
        <v>2</v>
      </c>
      <c r="W969" s="29">
        <v>33.04</v>
      </c>
      <c r="X969" s="26">
        <v>90238</v>
      </c>
      <c r="Y969" s="35">
        <v>8.879999999999999</v>
      </c>
      <c r="Z969" s="1" t="s">
        <v>3012</v>
      </c>
      <c r="AA969" s="36">
        <v>0.30559999999999998</v>
      </c>
      <c r="AB969" s="54">
        <v>19.163200000000003</v>
      </c>
      <c r="AC969" s="54">
        <v>6.9383999999999997</v>
      </c>
      <c r="AD969" s="36">
        <v>43.2044</v>
      </c>
    </row>
    <row r="970" spans="1:30" s="37" customFormat="1" ht="15.75" customHeight="1" x14ac:dyDescent="0.2">
      <c r="A970" s="26">
        <v>1625</v>
      </c>
      <c r="B970" s="27" t="s">
        <v>1223</v>
      </c>
      <c r="C970" s="27" t="s">
        <v>116</v>
      </c>
      <c r="D970" s="28">
        <v>0</v>
      </c>
      <c r="E970" s="29">
        <v>16.059999999999999</v>
      </c>
      <c r="F970" s="29">
        <v>8.34</v>
      </c>
      <c r="G970" s="30" t="s">
        <v>39</v>
      </c>
      <c r="H970" s="27" t="s">
        <v>71</v>
      </c>
      <c r="I970" s="27" t="s">
        <v>49</v>
      </c>
      <c r="J970" s="27" t="s">
        <v>78</v>
      </c>
      <c r="K970" s="27" t="s">
        <v>73</v>
      </c>
      <c r="L970" s="31" t="s">
        <v>1887</v>
      </c>
      <c r="M970" s="32">
        <v>0.59</v>
      </c>
      <c r="N970" s="27" t="s">
        <v>33</v>
      </c>
      <c r="O970" s="27" t="s">
        <v>111</v>
      </c>
      <c r="P970" s="27" t="s">
        <v>112</v>
      </c>
      <c r="Q970" s="27" t="s">
        <v>1225</v>
      </c>
      <c r="R970" s="33">
        <v>11542</v>
      </c>
      <c r="S970" s="34">
        <v>42090</v>
      </c>
      <c r="T970" s="34">
        <v>42091</v>
      </c>
      <c r="U970" s="29">
        <v>-28.09</v>
      </c>
      <c r="V970" s="26">
        <v>1</v>
      </c>
      <c r="W970" s="29">
        <v>19.16</v>
      </c>
      <c r="X970" s="26">
        <v>90600</v>
      </c>
      <c r="Y970" s="35">
        <v>3.65</v>
      </c>
      <c r="Z970" s="1" t="s">
        <v>3014</v>
      </c>
      <c r="AA970" s="36">
        <v>0</v>
      </c>
      <c r="AB970" s="54">
        <v>7.8556000000000008</v>
      </c>
      <c r="AC970" s="54">
        <v>11.304399999999999</v>
      </c>
      <c r="AD970" s="36">
        <v>38.909999999999997</v>
      </c>
    </row>
    <row r="971" spans="1:30" s="37" customFormat="1" ht="15.75" customHeight="1" x14ac:dyDescent="0.2">
      <c r="A971" s="26">
        <v>1738</v>
      </c>
      <c r="B971" s="27" t="s">
        <v>1901</v>
      </c>
      <c r="C971" s="27" t="s">
        <v>116</v>
      </c>
      <c r="D971" s="28">
        <v>0.08</v>
      </c>
      <c r="E971" s="29">
        <v>175.99</v>
      </c>
      <c r="F971" s="29">
        <v>4.99</v>
      </c>
      <c r="G971" s="30" t="s">
        <v>39</v>
      </c>
      <c r="H971" s="27" t="s">
        <v>94</v>
      </c>
      <c r="I971" s="27" t="s">
        <v>41</v>
      </c>
      <c r="J971" s="27" t="s">
        <v>135</v>
      </c>
      <c r="K971" s="27" t="s">
        <v>73</v>
      </c>
      <c r="L971" s="31" t="s">
        <v>1249</v>
      </c>
      <c r="M971" s="32">
        <v>0.59</v>
      </c>
      <c r="N971" s="27" t="s">
        <v>33</v>
      </c>
      <c r="O971" s="27" t="s">
        <v>34</v>
      </c>
      <c r="P971" s="27" t="s">
        <v>97</v>
      </c>
      <c r="Q971" s="27" t="s">
        <v>1902</v>
      </c>
      <c r="R971" s="33">
        <v>28052</v>
      </c>
      <c r="S971" s="34">
        <v>42091</v>
      </c>
      <c r="T971" s="34">
        <v>42091</v>
      </c>
      <c r="U971" s="29">
        <v>-16476.838</v>
      </c>
      <c r="V971" s="26">
        <v>10</v>
      </c>
      <c r="W971" s="29">
        <v>1486.34</v>
      </c>
      <c r="X971" s="26">
        <v>85865</v>
      </c>
      <c r="Y971" s="35">
        <v>10.360000000000001</v>
      </c>
      <c r="Z971" s="1" t="s">
        <v>3011</v>
      </c>
      <c r="AA971" s="36">
        <v>140.792</v>
      </c>
      <c r="AB971" s="54">
        <v>609.39940000000001</v>
      </c>
      <c r="AC971" s="54">
        <v>87.694059999999993</v>
      </c>
      <c r="AD971" s="36">
        <v>17817.395999999997</v>
      </c>
    </row>
    <row r="972" spans="1:30" s="37" customFormat="1" ht="15.75" customHeight="1" x14ac:dyDescent="0.2">
      <c r="A972" s="26">
        <v>800</v>
      </c>
      <c r="B972" s="27" t="s">
        <v>1900</v>
      </c>
      <c r="C972" s="27" t="s">
        <v>48</v>
      </c>
      <c r="D972" s="28">
        <v>0.04</v>
      </c>
      <c r="E972" s="29">
        <v>50.98</v>
      </c>
      <c r="F972" s="29">
        <v>6.5</v>
      </c>
      <c r="G972" s="30" t="s">
        <v>39</v>
      </c>
      <c r="H972" s="27" t="s">
        <v>40</v>
      </c>
      <c r="I972" s="27" t="s">
        <v>41</v>
      </c>
      <c r="J972" s="27" t="s">
        <v>42</v>
      </c>
      <c r="K972" s="27" t="s">
        <v>73</v>
      </c>
      <c r="L972" s="31" t="s">
        <v>1866</v>
      </c>
      <c r="M972" s="32">
        <v>0.73</v>
      </c>
      <c r="N972" s="27" t="s">
        <v>33</v>
      </c>
      <c r="O972" s="27" t="s">
        <v>60</v>
      </c>
      <c r="P972" s="27" t="s">
        <v>146</v>
      </c>
      <c r="Q972" s="27" t="s">
        <v>1526</v>
      </c>
      <c r="R972" s="33">
        <v>84067</v>
      </c>
      <c r="S972" s="34">
        <v>42091</v>
      </c>
      <c r="T972" s="34">
        <v>42097</v>
      </c>
      <c r="U972" s="29">
        <v>-13.28</v>
      </c>
      <c r="V972" s="26">
        <v>11</v>
      </c>
      <c r="W972" s="29">
        <v>568.25</v>
      </c>
      <c r="X972" s="26">
        <v>89910</v>
      </c>
      <c r="Y972" s="35">
        <v>4.2</v>
      </c>
      <c r="Z972" s="1" t="s">
        <v>3013</v>
      </c>
      <c r="AA972" s="36">
        <v>22.4312</v>
      </c>
      <c r="AB972" s="54">
        <v>153.42750000000001</v>
      </c>
      <c r="AC972" s="54">
        <v>37.711136363636363</v>
      </c>
      <c r="AD972" s="36">
        <v>552.59879999999998</v>
      </c>
    </row>
    <row r="973" spans="1:30" s="37" customFormat="1" ht="15.75" customHeight="1" x14ac:dyDescent="0.2">
      <c r="A973" s="26">
        <v>2968</v>
      </c>
      <c r="B973" s="27" t="s">
        <v>1319</v>
      </c>
      <c r="C973" s="27" t="s">
        <v>38</v>
      </c>
      <c r="D973" s="28">
        <v>0.06</v>
      </c>
      <c r="E973" s="29">
        <v>363.25</v>
      </c>
      <c r="F973" s="29">
        <v>19.989999999999998</v>
      </c>
      <c r="G973" s="30" t="s">
        <v>39</v>
      </c>
      <c r="H973" s="27" t="s">
        <v>3095</v>
      </c>
      <c r="I973" s="27" t="s">
        <v>49</v>
      </c>
      <c r="J973" s="27" t="s">
        <v>95</v>
      </c>
      <c r="K973" s="27" t="s">
        <v>73</v>
      </c>
      <c r="L973" s="31" t="s">
        <v>199</v>
      </c>
      <c r="M973" s="32">
        <v>0.56999999999999995</v>
      </c>
      <c r="N973" s="27" t="s">
        <v>33</v>
      </c>
      <c r="O973" s="27" t="s">
        <v>34</v>
      </c>
      <c r="P973" s="27" t="s">
        <v>123</v>
      </c>
      <c r="Q973" s="27" t="s">
        <v>1321</v>
      </c>
      <c r="R973" s="33">
        <v>33021</v>
      </c>
      <c r="S973" s="34">
        <v>42091</v>
      </c>
      <c r="T973" s="34">
        <v>42093</v>
      </c>
      <c r="U973" s="29">
        <v>36.164099999999998</v>
      </c>
      <c r="V973" s="26">
        <v>1</v>
      </c>
      <c r="W973" s="29">
        <v>344.87</v>
      </c>
      <c r="X973" s="26">
        <v>86086</v>
      </c>
      <c r="Y973" s="35">
        <v>363.19</v>
      </c>
      <c r="Z973" s="1" t="s">
        <v>3011</v>
      </c>
      <c r="AA973" s="36">
        <v>21.794999999999998</v>
      </c>
      <c r="AB973" s="54">
        <v>148.29410000000001</v>
      </c>
      <c r="AC973" s="54">
        <v>196.57589999999999</v>
      </c>
      <c r="AD973" s="36">
        <v>266.92090000000002</v>
      </c>
    </row>
    <row r="974" spans="1:30" s="37" customFormat="1" ht="15.75" customHeight="1" x14ac:dyDescent="0.2">
      <c r="A974" s="26">
        <v>2668</v>
      </c>
      <c r="B974" s="27" t="s">
        <v>1896</v>
      </c>
      <c r="C974" s="27" t="s">
        <v>38</v>
      </c>
      <c r="D974" s="28">
        <v>0.04</v>
      </c>
      <c r="E974" s="29">
        <v>10.4</v>
      </c>
      <c r="F974" s="29">
        <v>5.4</v>
      </c>
      <c r="G974" s="30" t="s">
        <v>39</v>
      </c>
      <c r="H974" s="27" t="s">
        <v>94</v>
      </c>
      <c r="I974" s="27" t="s">
        <v>29</v>
      </c>
      <c r="J974" s="27" t="s">
        <v>126</v>
      </c>
      <c r="K974" s="27" t="s">
        <v>43</v>
      </c>
      <c r="L974" s="31" t="s">
        <v>1897</v>
      </c>
      <c r="M974" s="32">
        <v>0.51</v>
      </c>
      <c r="N974" s="27" t="s">
        <v>33</v>
      </c>
      <c r="O974" s="27" t="s">
        <v>53</v>
      </c>
      <c r="P974" s="27" t="s">
        <v>1071</v>
      </c>
      <c r="Q974" s="27" t="s">
        <v>1898</v>
      </c>
      <c r="R974" s="33">
        <v>57701</v>
      </c>
      <c r="S974" s="34">
        <v>42091</v>
      </c>
      <c r="T974" s="34">
        <v>42092</v>
      </c>
      <c r="U974" s="29">
        <v>29.98</v>
      </c>
      <c r="V974" s="26">
        <v>12</v>
      </c>
      <c r="W974" s="29">
        <v>130.74</v>
      </c>
      <c r="X974" s="26">
        <v>87830</v>
      </c>
      <c r="Y974" s="35">
        <v>50.94</v>
      </c>
      <c r="Z974" s="1" t="s">
        <v>3012</v>
      </c>
      <c r="AA974" s="36">
        <v>4.9920000000000009</v>
      </c>
      <c r="AB974" s="54">
        <v>64.062600000000003</v>
      </c>
      <c r="AC974" s="54">
        <v>5.5564500000000008</v>
      </c>
      <c r="AD974" s="36">
        <v>90.368000000000009</v>
      </c>
    </row>
    <row r="975" spans="1:30" s="37" customFormat="1" ht="15.75" customHeight="1" x14ac:dyDescent="0.2">
      <c r="A975" s="26">
        <v>800</v>
      </c>
      <c r="B975" s="27" t="s">
        <v>1900</v>
      </c>
      <c r="C975" s="27" t="s">
        <v>48</v>
      </c>
      <c r="D975" s="28">
        <v>0.02</v>
      </c>
      <c r="E975" s="29">
        <v>6.48</v>
      </c>
      <c r="F975" s="29">
        <v>5.14</v>
      </c>
      <c r="G975" s="30" t="s">
        <v>39</v>
      </c>
      <c r="H975" s="27" t="s">
        <v>40</v>
      </c>
      <c r="I975" s="27" t="s">
        <v>49</v>
      </c>
      <c r="J975" s="27" t="s">
        <v>88</v>
      </c>
      <c r="K975" s="27" t="s">
        <v>73</v>
      </c>
      <c r="L975" s="31" t="s">
        <v>1745</v>
      </c>
      <c r="M975" s="32">
        <v>0.37</v>
      </c>
      <c r="N975" s="27" t="s">
        <v>33</v>
      </c>
      <c r="O975" s="27" t="s">
        <v>60</v>
      </c>
      <c r="P975" s="27" t="s">
        <v>146</v>
      </c>
      <c r="Q975" s="27" t="s">
        <v>1526</v>
      </c>
      <c r="R975" s="33">
        <v>84067</v>
      </c>
      <c r="S975" s="34">
        <v>42091</v>
      </c>
      <c r="T975" s="34">
        <v>42093</v>
      </c>
      <c r="U975" s="29">
        <v>-48.68</v>
      </c>
      <c r="V975" s="26">
        <v>19</v>
      </c>
      <c r="W975" s="29">
        <v>126.66</v>
      </c>
      <c r="X975" s="26">
        <v>89910</v>
      </c>
      <c r="Y975" s="35">
        <v>6.4600000000000009</v>
      </c>
      <c r="Z975" s="1" t="s">
        <v>3013</v>
      </c>
      <c r="AA975" s="36">
        <v>2.4624000000000006</v>
      </c>
      <c r="AB975" s="54">
        <v>79.7958</v>
      </c>
      <c r="AC975" s="54">
        <v>2.4665368421052629</v>
      </c>
      <c r="AD975" s="36">
        <v>167.73759999999999</v>
      </c>
    </row>
    <row r="976" spans="1:30" s="37" customFormat="1" ht="15.75" customHeight="1" x14ac:dyDescent="0.2">
      <c r="A976" s="26">
        <v>2880</v>
      </c>
      <c r="B976" s="27" t="s">
        <v>1903</v>
      </c>
      <c r="C976" s="27" t="s">
        <v>116</v>
      </c>
      <c r="D976" s="28">
        <v>0.05</v>
      </c>
      <c r="E976" s="29">
        <v>6.68</v>
      </c>
      <c r="F976" s="29">
        <v>6.93</v>
      </c>
      <c r="G976" s="30" t="s">
        <v>39</v>
      </c>
      <c r="H976" s="27" t="s">
        <v>3095</v>
      </c>
      <c r="I976" s="27" t="s">
        <v>49</v>
      </c>
      <c r="J976" s="27" t="s">
        <v>88</v>
      </c>
      <c r="K976" s="27" t="s">
        <v>73</v>
      </c>
      <c r="L976" s="31" t="s">
        <v>976</v>
      </c>
      <c r="M976" s="32">
        <v>0.37</v>
      </c>
      <c r="N976" s="27" t="s">
        <v>33</v>
      </c>
      <c r="O976" s="27" t="s">
        <v>34</v>
      </c>
      <c r="P976" s="27" t="s">
        <v>123</v>
      </c>
      <c r="Q976" s="27" t="s">
        <v>1904</v>
      </c>
      <c r="R976" s="33">
        <v>33160</v>
      </c>
      <c r="S976" s="34">
        <v>42091</v>
      </c>
      <c r="T976" s="34">
        <v>42092</v>
      </c>
      <c r="U976" s="29">
        <v>-2.3519999999999999</v>
      </c>
      <c r="V976" s="26">
        <v>11</v>
      </c>
      <c r="W976" s="29">
        <v>77.2</v>
      </c>
      <c r="X976" s="26">
        <v>88626</v>
      </c>
      <c r="Y976" s="35">
        <v>175.91</v>
      </c>
      <c r="Z976" s="1" t="s">
        <v>3011</v>
      </c>
      <c r="AA976" s="36">
        <v>3.6740000000000004</v>
      </c>
      <c r="AB976" s="54">
        <v>48.636000000000003</v>
      </c>
      <c r="AC976" s="54">
        <v>2.5967272727272728</v>
      </c>
      <c r="AD976" s="36">
        <v>68.948000000000008</v>
      </c>
    </row>
    <row r="977" spans="1:30" s="37" customFormat="1" ht="15.75" customHeight="1" x14ac:dyDescent="0.2">
      <c r="A977" s="26">
        <v>2668</v>
      </c>
      <c r="B977" s="27" t="s">
        <v>1896</v>
      </c>
      <c r="C977" s="27" t="s">
        <v>38</v>
      </c>
      <c r="D977" s="28">
        <v>0.08</v>
      </c>
      <c r="E977" s="29">
        <v>4.28</v>
      </c>
      <c r="F977" s="29">
        <v>4.79</v>
      </c>
      <c r="G977" s="30" t="s">
        <v>39</v>
      </c>
      <c r="H977" s="27" t="s">
        <v>94</v>
      </c>
      <c r="I977" s="27" t="s">
        <v>49</v>
      </c>
      <c r="J977" s="27" t="s">
        <v>88</v>
      </c>
      <c r="K977" s="27" t="s">
        <v>73</v>
      </c>
      <c r="L977" s="31" t="s">
        <v>1899</v>
      </c>
      <c r="M977" s="32">
        <v>0.4</v>
      </c>
      <c r="N977" s="27" t="s">
        <v>33</v>
      </c>
      <c r="O977" s="27" t="s">
        <v>53</v>
      </c>
      <c r="P977" s="27" t="s">
        <v>1071</v>
      </c>
      <c r="Q977" s="27" t="s">
        <v>1898</v>
      </c>
      <c r="R977" s="33">
        <v>57701</v>
      </c>
      <c r="S977" s="34">
        <v>42091</v>
      </c>
      <c r="T977" s="34">
        <v>42093</v>
      </c>
      <c r="U977" s="29">
        <v>-121.2</v>
      </c>
      <c r="V977" s="26">
        <v>12</v>
      </c>
      <c r="W977" s="29">
        <v>49.87</v>
      </c>
      <c r="X977" s="26">
        <v>87830</v>
      </c>
      <c r="Y977" s="35">
        <v>6.63</v>
      </c>
      <c r="Z977" s="1" t="s">
        <v>3012</v>
      </c>
      <c r="AA977" s="36">
        <v>4.1088000000000005</v>
      </c>
      <c r="AB977" s="54">
        <v>29.921999999999997</v>
      </c>
      <c r="AC977" s="54">
        <v>1.6623333333333332</v>
      </c>
      <c r="AD977" s="36">
        <v>162.1712</v>
      </c>
    </row>
    <row r="978" spans="1:30" s="37" customFormat="1" ht="15.75" customHeight="1" x14ac:dyDescent="0.2">
      <c r="A978" s="26">
        <v>152</v>
      </c>
      <c r="B978" s="27" t="s">
        <v>505</v>
      </c>
      <c r="C978" s="27" t="s">
        <v>38</v>
      </c>
      <c r="D978" s="28">
        <v>0.01</v>
      </c>
      <c r="E978" s="29">
        <v>65.989999999999995</v>
      </c>
      <c r="F978" s="29">
        <v>8.99</v>
      </c>
      <c r="G978" s="30" t="s">
        <v>39</v>
      </c>
      <c r="H978" s="27" t="s">
        <v>40</v>
      </c>
      <c r="I978" s="27" t="s">
        <v>41</v>
      </c>
      <c r="J978" s="27" t="s">
        <v>135</v>
      </c>
      <c r="K978" s="27" t="s">
        <v>73</v>
      </c>
      <c r="L978" s="31" t="s">
        <v>1905</v>
      </c>
      <c r="M978" s="32">
        <v>0.6</v>
      </c>
      <c r="N978" s="27" t="s">
        <v>33</v>
      </c>
      <c r="O978" s="27" t="s">
        <v>34</v>
      </c>
      <c r="P978" s="27" t="s">
        <v>400</v>
      </c>
      <c r="Q978" s="27" t="s">
        <v>507</v>
      </c>
      <c r="R978" s="33">
        <v>37918</v>
      </c>
      <c r="S978" s="34">
        <v>42092</v>
      </c>
      <c r="T978" s="34">
        <v>42095</v>
      </c>
      <c r="U978" s="29">
        <v>97.86</v>
      </c>
      <c r="V978" s="26">
        <v>5</v>
      </c>
      <c r="W978" s="29">
        <v>292.23</v>
      </c>
      <c r="X978" s="26">
        <v>89524</v>
      </c>
      <c r="Y978" s="35">
        <v>65.97999999999999</v>
      </c>
      <c r="Z978" s="1" t="s">
        <v>3011</v>
      </c>
      <c r="AA978" s="36">
        <v>3.2994999999999997</v>
      </c>
      <c r="AB978" s="54">
        <v>116.89200000000001</v>
      </c>
      <c r="AC978" s="54">
        <v>35.067599999999999</v>
      </c>
      <c r="AD978" s="36">
        <v>182.08050000000003</v>
      </c>
    </row>
    <row r="979" spans="1:30" s="37" customFormat="1" ht="15.75" customHeight="1" x14ac:dyDescent="0.2">
      <c r="A979" s="26">
        <v>2530</v>
      </c>
      <c r="B979" s="27" t="s">
        <v>1907</v>
      </c>
      <c r="C979" s="27" t="s">
        <v>38</v>
      </c>
      <c r="D979" s="28">
        <v>0.04</v>
      </c>
      <c r="E979" s="29">
        <v>40.98</v>
      </c>
      <c r="F979" s="29">
        <v>6.5</v>
      </c>
      <c r="G979" s="30" t="s">
        <v>39</v>
      </c>
      <c r="H979" s="27" t="s">
        <v>3095</v>
      </c>
      <c r="I979" s="27" t="s">
        <v>41</v>
      </c>
      <c r="J979" s="27" t="s">
        <v>42</v>
      </c>
      <c r="K979" s="27" t="s">
        <v>73</v>
      </c>
      <c r="L979" s="31" t="s">
        <v>446</v>
      </c>
      <c r="M979" s="32">
        <v>0.74</v>
      </c>
      <c r="N979" s="27" t="s">
        <v>33</v>
      </c>
      <c r="O979" s="27" t="s">
        <v>60</v>
      </c>
      <c r="P979" s="27" t="s">
        <v>90</v>
      </c>
      <c r="Q979" s="27" t="s">
        <v>1908</v>
      </c>
      <c r="R979" s="33">
        <v>92307</v>
      </c>
      <c r="S979" s="34">
        <v>42092</v>
      </c>
      <c r="T979" s="34">
        <v>42093</v>
      </c>
      <c r="U979" s="29">
        <v>-89.5</v>
      </c>
      <c r="V979" s="26">
        <v>7</v>
      </c>
      <c r="W979" s="29">
        <v>277.07</v>
      </c>
      <c r="X979" s="26">
        <v>87451</v>
      </c>
      <c r="Y979" s="35">
        <v>6.65</v>
      </c>
      <c r="Z979" s="1" t="s">
        <v>3013</v>
      </c>
      <c r="AA979" s="36">
        <v>11.474399999999999</v>
      </c>
      <c r="AB979" s="54">
        <v>72.038200000000003</v>
      </c>
      <c r="AC979" s="54">
        <v>29.29025714285714</v>
      </c>
      <c r="AD979" s="36">
        <v>348.59559999999999</v>
      </c>
    </row>
    <row r="980" spans="1:30" s="37" customFormat="1" ht="15.75" customHeight="1" x14ac:dyDescent="0.2">
      <c r="A980" s="26">
        <v>2430</v>
      </c>
      <c r="B980" s="27" t="s">
        <v>1837</v>
      </c>
      <c r="C980" s="27" t="s">
        <v>48</v>
      </c>
      <c r="D980" s="28">
        <v>0.03</v>
      </c>
      <c r="E980" s="29">
        <v>140.99</v>
      </c>
      <c r="F980" s="29">
        <v>4.2</v>
      </c>
      <c r="G980" s="30" t="s">
        <v>39</v>
      </c>
      <c r="H980" s="27" t="s">
        <v>71</v>
      </c>
      <c r="I980" s="27" t="s">
        <v>41</v>
      </c>
      <c r="J980" s="27" t="s">
        <v>135</v>
      </c>
      <c r="K980" s="27" t="s">
        <v>73</v>
      </c>
      <c r="L980" s="31" t="s">
        <v>1911</v>
      </c>
      <c r="M980" s="32">
        <v>0.59</v>
      </c>
      <c r="N980" s="27" t="s">
        <v>33</v>
      </c>
      <c r="O980" s="27" t="s">
        <v>53</v>
      </c>
      <c r="P980" s="27" t="s">
        <v>187</v>
      </c>
      <c r="Q980" s="27" t="s">
        <v>1838</v>
      </c>
      <c r="R980" s="33">
        <v>76541</v>
      </c>
      <c r="S980" s="34">
        <v>42092</v>
      </c>
      <c r="T980" s="34">
        <v>42100</v>
      </c>
      <c r="U980" s="29">
        <v>-458.74400000000003</v>
      </c>
      <c r="V980" s="26">
        <v>2</v>
      </c>
      <c r="W980" s="29">
        <v>246.44</v>
      </c>
      <c r="X980" s="26">
        <v>91110</v>
      </c>
      <c r="Y980" s="35">
        <v>40.94</v>
      </c>
      <c r="Z980" s="1" t="s">
        <v>3012</v>
      </c>
      <c r="AA980" s="36">
        <v>8.4594000000000005</v>
      </c>
      <c r="AB980" s="54">
        <v>101.04040000000001</v>
      </c>
      <c r="AC980" s="54">
        <v>72.699799999999996</v>
      </c>
      <c r="AD980" s="36">
        <v>692.52459999999996</v>
      </c>
    </row>
    <row r="981" spans="1:30" s="37" customFormat="1" ht="15.75" customHeight="1" x14ac:dyDescent="0.2">
      <c r="A981" s="26">
        <v>1129</v>
      </c>
      <c r="B981" s="27" t="s">
        <v>786</v>
      </c>
      <c r="C981" s="27" t="s">
        <v>3094</v>
      </c>
      <c r="D981" s="28">
        <v>0.05</v>
      </c>
      <c r="E981" s="29">
        <v>5.78</v>
      </c>
      <c r="F981" s="29">
        <v>7.64</v>
      </c>
      <c r="G981" s="30" t="s">
        <v>87</v>
      </c>
      <c r="H981" s="27" t="s">
        <v>94</v>
      </c>
      <c r="I981" s="27" t="s">
        <v>49</v>
      </c>
      <c r="J981" s="27" t="s">
        <v>88</v>
      </c>
      <c r="K981" s="27" t="s">
        <v>73</v>
      </c>
      <c r="L981" s="31" t="s">
        <v>1915</v>
      </c>
      <c r="M981" s="32">
        <v>0.36</v>
      </c>
      <c r="N981" s="27" t="s">
        <v>33</v>
      </c>
      <c r="O981" s="27" t="s">
        <v>111</v>
      </c>
      <c r="P981" s="27" t="s">
        <v>403</v>
      </c>
      <c r="Q981" s="27" t="s">
        <v>788</v>
      </c>
      <c r="R981" s="33">
        <v>2118</v>
      </c>
      <c r="S981" s="34">
        <v>42092</v>
      </c>
      <c r="T981" s="34">
        <v>42094</v>
      </c>
      <c r="U981" s="29">
        <v>-116.05</v>
      </c>
      <c r="V981" s="26">
        <v>29</v>
      </c>
      <c r="W981" s="29">
        <v>177.41</v>
      </c>
      <c r="X981" s="26">
        <v>49125</v>
      </c>
      <c r="Y981" s="35">
        <v>35.940000000000005</v>
      </c>
      <c r="Z981" s="1" t="s">
        <v>3014</v>
      </c>
      <c r="AA981" s="36">
        <v>8.3810000000000002</v>
      </c>
      <c r="AB981" s="54">
        <v>113.5424</v>
      </c>
      <c r="AC981" s="54">
        <v>2.2023310344827585</v>
      </c>
      <c r="AD981" s="36">
        <v>277.43899999999996</v>
      </c>
    </row>
    <row r="982" spans="1:30" s="37" customFormat="1" ht="15.75" customHeight="1" x14ac:dyDescent="0.2">
      <c r="A982" s="26">
        <v>2534</v>
      </c>
      <c r="B982" s="27" t="s">
        <v>1909</v>
      </c>
      <c r="C982" s="27" t="s">
        <v>38</v>
      </c>
      <c r="D982" s="28">
        <v>0.05</v>
      </c>
      <c r="E982" s="29">
        <v>35.99</v>
      </c>
      <c r="F982" s="29">
        <v>3.3</v>
      </c>
      <c r="G982" s="30" t="s">
        <v>39</v>
      </c>
      <c r="H982" s="27" t="s">
        <v>3095</v>
      </c>
      <c r="I982" s="27" t="s">
        <v>41</v>
      </c>
      <c r="J982" s="27" t="s">
        <v>135</v>
      </c>
      <c r="K982" s="27" t="s">
        <v>43</v>
      </c>
      <c r="L982" s="31" t="s">
        <v>1910</v>
      </c>
      <c r="M982" s="32">
        <v>0.39</v>
      </c>
      <c r="N982" s="27" t="s">
        <v>33</v>
      </c>
      <c r="O982" s="27" t="s">
        <v>111</v>
      </c>
      <c r="P982" s="27" t="s">
        <v>331</v>
      </c>
      <c r="Q982" s="27" t="s">
        <v>887</v>
      </c>
      <c r="R982" s="33">
        <v>4401</v>
      </c>
      <c r="S982" s="34">
        <v>42092</v>
      </c>
      <c r="T982" s="34">
        <v>42094</v>
      </c>
      <c r="U982" s="29">
        <v>103.2723</v>
      </c>
      <c r="V982" s="26">
        <v>5</v>
      </c>
      <c r="W982" s="29">
        <v>149.66999999999999</v>
      </c>
      <c r="X982" s="26">
        <v>87451</v>
      </c>
      <c r="Y982" s="35">
        <v>99.22</v>
      </c>
      <c r="Z982" s="1" t="s">
        <v>3014</v>
      </c>
      <c r="AA982" s="36">
        <v>8.9975000000000005</v>
      </c>
      <c r="AB982" s="54">
        <v>91.298699999999997</v>
      </c>
      <c r="AC982" s="54">
        <v>11.67426</v>
      </c>
      <c r="AD982" s="36">
        <v>34.100199999999987</v>
      </c>
    </row>
    <row r="983" spans="1:30" s="37" customFormat="1" ht="15.75" customHeight="1" x14ac:dyDescent="0.2">
      <c r="A983" s="26">
        <v>3151</v>
      </c>
      <c r="B983" s="27" t="s">
        <v>953</v>
      </c>
      <c r="C983" s="27" t="s">
        <v>38</v>
      </c>
      <c r="D983" s="28">
        <v>0.01</v>
      </c>
      <c r="E983" s="29">
        <v>99.23</v>
      </c>
      <c r="F983" s="29">
        <v>8.99</v>
      </c>
      <c r="G983" s="30" t="s">
        <v>39</v>
      </c>
      <c r="H983" s="27" t="s">
        <v>94</v>
      </c>
      <c r="I983" s="27" t="s">
        <v>29</v>
      </c>
      <c r="J983" s="27" t="s">
        <v>126</v>
      </c>
      <c r="K983" s="27" t="s">
        <v>43</v>
      </c>
      <c r="L983" s="31" t="s">
        <v>127</v>
      </c>
      <c r="M983" s="32">
        <v>0.35</v>
      </c>
      <c r="N983" s="27" t="s">
        <v>33</v>
      </c>
      <c r="O983" s="27" t="s">
        <v>60</v>
      </c>
      <c r="P983" s="27" t="s">
        <v>90</v>
      </c>
      <c r="Q983" s="27" t="s">
        <v>954</v>
      </c>
      <c r="R983" s="33">
        <v>92277</v>
      </c>
      <c r="S983" s="34">
        <v>42092</v>
      </c>
      <c r="T983" s="34">
        <v>42096</v>
      </c>
      <c r="U983" s="29">
        <v>-87.46</v>
      </c>
      <c r="V983" s="26">
        <v>1</v>
      </c>
      <c r="W983" s="29">
        <v>99.22</v>
      </c>
      <c r="X983" s="26">
        <v>88548</v>
      </c>
      <c r="Y983" s="35">
        <v>140.96</v>
      </c>
      <c r="Z983" s="1" t="s">
        <v>3013</v>
      </c>
      <c r="AA983" s="36">
        <v>0.99230000000000007</v>
      </c>
      <c r="AB983" s="54">
        <v>64.492999999999995</v>
      </c>
      <c r="AC983" s="54">
        <v>34.726999999999997</v>
      </c>
      <c r="AD983" s="36">
        <v>176.6977</v>
      </c>
    </row>
    <row r="984" spans="1:30" s="37" customFormat="1" ht="15.75" customHeight="1" x14ac:dyDescent="0.2">
      <c r="A984" s="26">
        <v>2338</v>
      </c>
      <c r="B984" s="27" t="s">
        <v>458</v>
      </c>
      <c r="C984" s="27" t="s">
        <v>38</v>
      </c>
      <c r="D984" s="28">
        <v>0.1</v>
      </c>
      <c r="E984" s="29">
        <v>6.75</v>
      </c>
      <c r="F984" s="29">
        <v>2.99</v>
      </c>
      <c r="G984" s="30" t="s">
        <v>39</v>
      </c>
      <c r="H984" s="27" t="s">
        <v>71</v>
      </c>
      <c r="I984" s="27" t="s">
        <v>49</v>
      </c>
      <c r="J984" s="27" t="s">
        <v>72</v>
      </c>
      <c r="K984" s="27" t="s">
        <v>73</v>
      </c>
      <c r="L984" s="31" t="s">
        <v>1906</v>
      </c>
      <c r="M984" s="32">
        <v>0.35</v>
      </c>
      <c r="N984" s="27" t="s">
        <v>33</v>
      </c>
      <c r="O984" s="27" t="s">
        <v>111</v>
      </c>
      <c r="P984" s="27" t="s">
        <v>418</v>
      </c>
      <c r="Q984" s="27" t="s">
        <v>460</v>
      </c>
      <c r="R984" s="33">
        <v>20740</v>
      </c>
      <c r="S984" s="34">
        <v>42092</v>
      </c>
      <c r="T984" s="34">
        <v>42092</v>
      </c>
      <c r="U984" s="29">
        <v>18.147500000000001</v>
      </c>
      <c r="V984" s="26">
        <v>15</v>
      </c>
      <c r="W984" s="29">
        <v>96.13</v>
      </c>
      <c r="X984" s="26">
        <v>91481</v>
      </c>
      <c r="Y984" s="35">
        <v>7.01</v>
      </c>
      <c r="Z984" s="1" t="s">
        <v>3014</v>
      </c>
      <c r="AA984" s="36">
        <v>10.125</v>
      </c>
      <c r="AB984" s="54">
        <v>62.484499999999997</v>
      </c>
      <c r="AC984" s="54">
        <v>2.243033333333333</v>
      </c>
      <c r="AD984" s="36">
        <v>64.867499999999993</v>
      </c>
    </row>
    <row r="985" spans="1:30" s="37" customFormat="1" ht="15.75" customHeight="1" x14ac:dyDescent="0.2">
      <c r="A985" s="26">
        <v>1028</v>
      </c>
      <c r="B985" s="27" t="s">
        <v>1912</v>
      </c>
      <c r="C985" s="27" t="s">
        <v>116</v>
      </c>
      <c r="D985" s="28">
        <v>7.0000000000000007E-2</v>
      </c>
      <c r="E985" s="29">
        <v>7.08</v>
      </c>
      <c r="F985" s="29">
        <v>2.35</v>
      </c>
      <c r="G985" s="30" t="s">
        <v>87</v>
      </c>
      <c r="H985" s="27" t="s">
        <v>3095</v>
      </c>
      <c r="I985" s="27" t="s">
        <v>49</v>
      </c>
      <c r="J985" s="27" t="s">
        <v>50</v>
      </c>
      <c r="K985" s="27" t="s">
        <v>51</v>
      </c>
      <c r="L985" s="31" t="s">
        <v>1913</v>
      </c>
      <c r="M985" s="32">
        <v>0.47</v>
      </c>
      <c r="N985" s="27" t="s">
        <v>33</v>
      </c>
      <c r="O985" s="27" t="s">
        <v>111</v>
      </c>
      <c r="P985" s="27" t="s">
        <v>112</v>
      </c>
      <c r="Q985" s="27" t="s">
        <v>1914</v>
      </c>
      <c r="R985" s="33">
        <v>11725</v>
      </c>
      <c r="S985" s="34">
        <v>42092</v>
      </c>
      <c r="T985" s="34">
        <v>42093</v>
      </c>
      <c r="U985" s="29">
        <v>30.49</v>
      </c>
      <c r="V985" s="26">
        <v>13</v>
      </c>
      <c r="W985" s="29">
        <v>93.82</v>
      </c>
      <c r="X985" s="26">
        <v>89006</v>
      </c>
      <c r="Y985" s="35">
        <v>5.73</v>
      </c>
      <c r="Z985" s="1" t="s">
        <v>3014</v>
      </c>
      <c r="AA985" s="36">
        <v>6.4428000000000001</v>
      </c>
      <c r="AB985" s="54">
        <v>49.724600000000002</v>
      </c>
      <c r="AC985" s="54">
        <v>3.3919538461538457</v>
      </c>
      <c r="AD985" s="36">
        <v>54.537199999999999</v>
      </c>
    </row>
    <row r="986" spans="1:30" s="37" customFormat="1" ht="15.75" customHeight="1" x14ac:dyDescent="0.2">
      <c r="A986" s="26">
        <v>3399</v>
      </c>
      <c r="B986" s="27" t="s">
        <v>1919</v>
      </c>
      <c r="C986" s="27" t="s">
        <v>3094</v>
      </c>
      <c r="D986" s="28">
        <v>0.08</v>
      </c>
      <c r="E986" s="29">
        <v>11.97</v>
      </c>
      <c r="F986" s="29">
        <v>5.81</v>
      </c>
      <c r="G986" s="30" t="s">
        <v>39</v>
      </c>
      <c r="H986" s="27" t="s">
        <v>3095</v>
      </c>
      <c r="I986" s="27" t="s">
        <v>49</v>
      </c>
      <c r="J986" s="27" t="s">
        <v>50</v>
      </c>
      <c r="K986" s="27" t="s">
        <v>43</v>
      </c>
      <c r="L986" s="31" t="s">
        <v>1812</v>
      </c>
      <c r="M986" s="32">
        <v>0.6</v>
      </c>
      <c r="N986" s="27" t="s">
        <v>33</v>
      </c>
      <c r="O986" s="27" t="s">
        <v>53</v>
      </c>
      <c r="P986" s="27" t="s">
        <v>103</v>
      </c>
      <c r="Q986" s="27" t="s">
        <v>1581</v>
      </c>
      <c r="R986" s="33">
        <v>60016</v>
      </c>
      <c r="S986" s="34">
        <v>42092</v>
      </c>
      <c r="T986" s="34">
        <v>42094</v>
      </c>
      <c r="U986" s="29">
        <v>-41.87</v>
      </c>
      <c r="V986" s="26">
        <v>5</v>
      </c>
      <c r="W986" s="29">
        <v>59.98</v>
      </c>
      <c r="X986" s="26">
        <v>87534</v>
      </c>
      <c r="Y986" s="35">
        <v>7.36</v>
      </c>
      <c r="Z986" s="1" t="s">
        <v>3012</v>
      </c>
      <c r="AA986" s="36">
        <v>4.7880000000000003</v>
      </c>
      <c r="AB986" s="54">
        <v>23.992000000000001</v>
      </c>
      <c r="AC986" s="54">
        <v>7.1975999999999987</v>
      </c>
      <c r="AD986" s="36">
        <v>91.251999999999995</v>
      </c>
    </row>
    <row r="987" spans="1:30" s="37" customFormat="1" ht="15.75" customHeight="1" x14ac:dyDescent="0.2">
      <c r="A987" s="26">
        <v>1237</v>
      </c>
      <c r="B987" s="27" t="s">
        <v>1916</v>
      </c>
      <c r="C987" s="27" t="s">
        <v>3094</v>
      </c>
      <c r="D987" s="28">
        <v>0.02</v>
      </c>
      <c r="E987" s="29">
        <v>7.38</v>
      </c>
      <c r="F987" s="29">
        <v>5.21</v>
      </c>
      <c r="G987" s="30" t="s">
        <v>39</v>
      </c>
      <c r="H987" s="27" t="s">
        <v>94</v>
      </c>
      <c r="I987" s="27" t="s">
        <v>29</v>
      </c>
      <c r="J987" s="27" t="s">
        <v>126</v>
      </c>
      <c r="K987" s="27" t="s">
        <v>73</v>
      </c>
      <c r="L987" s="31" t="s">
        <v>1917</v>
      </c>
      <c r="M987" s="32">
        <v>0.56000000000000005</v>
      </c>
      <c r="N987" s="27" t="s">
        <v>33</v>
      </c>
      <c r="O987" s="27" t="s">
        <v>53</v>
      </c>
      <c r="P987" s="27" t="s">
        <v>187</v>
      </c>
      <c r="Q987" s="27" t="s">
        <v>1918</v>
      </c>
      <c r="R987" s="33">
        <v>75007</v>
      </c>
      <c r="S987" s="34">
        <v>42092</v>
      </c>
      <c r="T987" s="34">
        <v>42093</v>
      </c>
      <c r="U987" s="29">
        <v>7.74</v>
      </c>
      <c r="V987" s="26">
        <v>3</v>
      </c>
      <c r="W987" s="29">
        <v>24.52</v>
      </c>
      <c r="X987" s="26">
        <v>86076</v>
      </c>
      <c r="Y987" s="35">
        <v>11.89</v>
      </c>
      <c r="Z987" s="1" t="s">
        <v>3012</v>
      </c>
      <c r="AA987" s="36">
        <v>0.44280000000000003</v>
      </c>
      <c r="AB987" s="54">
        <v>10.788799999999998</v>
      </c>
      <c r="AC987" s="54">
        <v>4.5770666666666671</v>
      </c>
      <c r="AD987" s="36">
        <v>11.1272</v>
      </c>
    </row>
    <row r="988" spans="1:30" s="37" customFormat="1" ht="15.75" customHeight="1" x14ac:dyDescent="0.2">
      <c r="A988" s="26">
        <v>84</v>
      </c>
      <c r="B988" s="27" t="s">
        <v>933</v>
      </c>
      <c r="C988" s="27" t="s">
        <v>38</v>
      </c>
      <c r="D988" s="28">
        <v>0.08</v>
      </c>
      <c r="E988" s="29">
        <v>896.99</v>
      </c>
      <c r="F988" s="29">
        <v>19.989999999999998</v>
      </c>
      <c r="G988" s="30" t="s">
        <v>39</v>
      </c>
      <c r="H988" s="27" t="s">
        <v>94</v>
      </c>
      <c r="I988" s="27" t="s">
        <v>49</v>
      </c>
      <c r="J988" s="27" t="s">
        <v>72</v>
      </c>
      <c r="K988" s="27" t="s">
        <v>73</v>
      </c>
      <c r="L988" s="31" t="s">
        <v>323</v>
      </c>
      <c r="M988" s="32">
        <v>0.38</v>
      </c>
      <c r="N988" s="27" t="s">
        <v>33</v>
      </c>
      <c r="O988" s="27" t="s">
        <v>111</v>
      </c>
      <c r="P988" s="27" t="s">
        <v>317</v>
      </c>
      <c r="Q988" s="27" t="s">
        <v>934</v>
      </c>
      <c r="R988" s="33">
        <v>45231</v>
      </c>
      <c r="S988" s="34">
        <v>42093</v>
      </c>
      <c r="T988" s="34">
        <v>42096</v>
      </c>
      <c r="U988" s="29">
        <v>7402.32</v>
      </c>
      <c r="V988" s="26">
        <v>13</v>
      </c>
      <c r="W988" s="29">
        <v>10728</v>
      </c>
      <c r="X988" s="26">
        <v>87366</v>
      </c>
      <c r="Y988" s="35">
        <v>6.4</v>
      </c>
      <c r="Z988" s="1" t="s">
        <v>3014</v>
      </c>
      <c r="AA988" s="36">
        <v>932.8696000000001</v>
      </c>
      <c r="AB988" s="54">
        <v>6651.36</v>
      </c>
      <c r="AC988" s="54">
        <v>313.58769230769235</v>
      </c>
      <c r="AD988" s="36">
        <v>2372.8204000000005</v>
      </c>
    </row>
    <row r="989" spans="1:30" s="37" customFormat="1" ht="15.75" customHeight="1" x14ac:dyDescent="0.2">
      <c r="A989" s="26">
        <v>1527</v>
      </c>
      <c r="B989" s="27" t="s">
        <v>338</v>
      </c>
      <c r="C989" s="27" t="s">
        <v>48</v>
      </c>
      <c r="D989" s="28">
        <v>0.03</v>
      </c>
      <c r="E989" s="29">
        <v>65.989999999999995</v>
      </c>
      <c r="F989" s="29">
        <v>5.26</v>
      </c>
      <c r="G989" s="30" t="s">
        <v>39</v>
      </c>
      <c r="H989" s="27" t="s">
        <v>71</v>
      </c>
      <c r="I989" s="27" t="s">
        <v>41</v>
      </c>
      <c r="J989" s="27" t="s">
        <v>135</v>
      </c>
      <c r="K989" s="27" t="s">
        <v>73</v>
      </c>
      <c r="L989" s="31" t="s">
        <v>1725</v>
      </c>
      <c r="M989" s="32">
        <v>0.56000000000000005</v>
      </c>
      <c r="N989" s="27" t="s">
        <v>33</v>
      </c>
      <c r="O989" s="27" t="s">
        <v>34</v>
      </c>
      <c r="P989" s="27" t="s">
        <v>164</v>
      </c>
      <c r="Q989" s="27" t="s">
        <v>340</v>
      </c>
      <c r="R989" s="33">
        <v>35601</v>
      </c>
      <c r="S989" s="34">
        <v>42093</v>
      </c>
      <c r="T989" s="34">
        <v>42103</v>
      </c>
      <c r="U989" s="29">
        <v>-52.247999999999998</v>
      </c>
      <c r="V989" s="26">
        <v>23</v>
      </c>
      <c r="W989" s="29">
        <v>1316.03</v>
      </c>
      <c r="X989" s="26">
        <v>86814</v>
      </c>
      <c r="Y989" s="35">
        <v>21.34</v>
      </c>
      <c r="Z989" s="1" t="s">
        <v>3011</v>
      </c>
      <c r="AA989" s="36">
        <v>45.533099999999997</v>
      </c>
      <c r="AB989" s="54">
        <v>579.05319999999995</v>
      </c>
      <c r="AC989" s="54">
        <v>32.042469565217395</v>
      </c>
      <c r="AD989" s="36">
        <v>1317.4848999999999</v>
      </c>
    </row>
    <row r="990" spans="1:30" s="37" customFormat="1" ht="15.75" customHeight="1" x14ac:dyDescent="0.2">
      <c r="A990" s="26">
        <v>271</v>
      </c>
      <c r="B990" s="27" t="s">
        <v>1930</v>
      </c>
      <c r="C990" s="27" t="s">
        <v>116</v>
      </c>
      <c r="D990" s="28">
        <v>0.1</v>
      </c>
      <c r="E990" s="29">
        <v>80.97</v>
      </c>
      <c r="F990" s="29">
        <v>30.06</v>
      </c>
      <c r="G990" s="30" t="s">
        <v>27</v>
      </c>
      <c r="H990" s="27" t="s">
        <v>3095</v>
      </c>
      <c r="I990" s="27" t="s">
        <v>41</v>
      </c>
      <c r="J990" s="27" t="s">
        <v>57</v>
      </c>
      <c r="K990" s="27" t="s">
        <v>31</v>
      </c>
      <c r="L990" s="31" t="s">
        <v>1152</v>
      </c>
      <c r="M990" s="32">
        <v>0.4</v>
      </c>
      <c r="N990" s="27" t="s">
        <v>33</v>
      </c>
      <c r="O990" s="27" t="s">
        <v>34</v>
      </c>
      <c r="P990" s="27" t="s">
        <v>75</v>
      </c>
      <c r="Q990" s="27" t="s">
        <v>1759</v>
      </c>
      <c r="R990" s="33">
        <v>30297</v>
      </c>
      <c r="S990" s="34">
        <v>42093</v>
      </c>
      <c r="T990" s="34">
        <v>42094</v>
      </c>
      <c r="U990" s="29">
        <v>128.02529999999999</v>
      </c>
      <c r="V990" s="26">
        <v>12</v>
      </c>
      <c r="W990" s="29">
        <v>899.81</v>
      </c>
      <c r="X990" s="26">
        <v>88940</v>
      </c>
      <c r="Y990" s="35">
        <v>11.33</v>
      </c>
      <c r="Z990" s="1" t="s">
        <v>3011</v>
      </c>
      <c r="AA990" s="36">
        <v>97.163999999999987</v>
      </c>
      <c r="AB990" s="54">
        <v>539.88599999999997</v>
      </c>
      <c r="AC990" s="54">
        <v>29.99366666666667</v>
      </c>
      <c r="AD990" s="36">
        <v>644.5607</v>
      </c>
    </row>
    <row r="991" spans="1:30" s="37" customFormat="1" ht="15.75" customHeight="1" x14ac:dyDescent="0.2">
      <c r="A991" s="26">
        <v>1840</v>
      </c>
      <c r="B991" s="27" t="s">
        <v>1935</v>
      </c>
      <c r="C991" s="27" t="s">
        <v>3094</v>
      </c>
      <c r="D991" s="28">
        <v>7.0000000000000007E-2</v>
      </c>
      <c r="E991" s="29">
        <v>40.98</v>
      </c>
      <c r="F991" s="29">
        <v>2.99</v>
      </c>
      <c r="G991" s="30" t="s">
        <v>39</v>
      </c>
      <c r="H991" s="27" t="s">
        <v>71</v>
      </c>
      <c r="I991" s="27" t="s">
        <v>49</v>
      </c>
      <c r="J991" s="27" t="s">
        <v>72</v>
      </c>
      <c r="K991" s="27" t="s">
        <v>73</v>
      </c>
      <c r="L991" s="31" t="s">
        <v>83</v>
      </c>
      <c r="M991" s="32">
        <v>0.36</v>
      </c>
      <c r="N991" s="27" t="s">
        <v>33</v>
      </c>
      <c r="O991" s="27" t="s">
        <v>111</v>
      </c>
      <c r="P991" s="27" t="s">
        <v>403</v>
      </c>
      <c r="Q991" s="27" t="s">
        <v>1936</v>
      </c>
      <c r="R991" s="33">
        <v>1469</v>
      </c>
      <c r="S991" s="34">
        <v>42093</v>
      </c>
      <c r="T991" s="34">
        <v>42095</v>
      </c>
      <c r="U991" s="29">
        <v>369.20519999999999</v>
      </c>
      <c r="V991" s="26">
        <v>13</v>
      </c>
      <c r="W991" s="29">
        <v>535.08000000000004</v>
      </c>
      <c r="X991" s="26">
        <v>86599</v>
      </c>
      <c r="Y991" s="35">
        <v>896.91</v>
      </c>
      <c r="Z991" s="1" t="s">
        <v>3014</v>
      </c>
      <c r="AA991" s="36">
        <v>37.291800000000002</v>
      </c>
      <c r="AB991" s="54">
        <v>342.45120000000003</v>
      </c>
      <c r="AC991" s="54">
        <v>14.817600000000001</v>
      </c>
      <c r="AD991" s="36">
        <v>125.59300000000002</v>
      </c>
    </row>
    <row r="992" spans="1:30" s="37" customFormat="1" ht="15.75" customHeight="1" x14ac:dyDescent="0.2">
      <c r="A992" s="26">
        <v>3154</v>
      </c>
      <c r="B992" s="27" t="s">
        <v>781</v>
      </c>
      <c r="C992" s="27" t="s">
        <v>26</v>
      </c>
      <c r="D992" s="28">
        <v>0.04</v>
      </c>
      <c r="E992" s="29">
        <v>21.38</v>
      </c>
      <c r="F992" s="29">
        <v>8.99</v>
      </c>
      <c r="G992" s="30" t="s">
        <v>39</v>
      </c>
      <c r="H992" s="27" t="s">
        <v>94</v>
      </c>
      <c r="I992" s="27" t="s">
        <v>49</v>
      </c>
      <c r="J992" s="27" t="s">
        <v>50</v>
      </c>
      <c r="K992" s="27" t="s">
        <v>43</v>
      </c>
      <c r="L992" s="31" t="s">
        <v>1677</v>
      </c>
      <c r="M992" s="32">
        <v>0.59</v>
      </c>
      <c r="N992" s="27" t="s">
        <v>33</v>
      </c>
      <c r="O992" s="27" t="s">
        <v>34</v>
      </c>
      <c r="P992" s="27" t="s">
        <v>123</v>
      </c>
      <c r="Q992" s="27" t="s">
        <v>783</v>
      </c>
      <c r="R992" s="33">
        <v>33710</v>
      </c>
      <c r="S992" s="34">
        <v>42093</v>
      </c>
      <c r="T992" s="34">
        <v>42093</v>
      </c>
      <c r="U992" s="29">
        <v>-51.66</v>
      </c>
      <c r="V992" s="26">
        <v>21</v>
      </c>
      <c r="W992" s="29">
        <v>443.66</v>
      </c>
      <c r="X992" s="26">
        <v>86901</v>
      </c>
      <c r="Y992" s="35">
        <v>65.959999999999994</v>
      </c>
      <c r="Z992" s="1" t="s">
        <v>3011</v>
      </c>
      <c r="AA992" s="36">
        <v>17.959199999999999</v>
      </c>
      <c r="AB992" s="54">
        <v>181.90060000000003</v>
      </c>
      <c r="AC992" s="54">
        <v>12.464733333333333</v>
      </c>
      <c r="AD992" s="36">
        <v>468.37080000000003</v>
      </c>
    </row>
    <row r="993" spans="1:30" s="37" customFormat="1" ht="15.75" customHeight="1" x14ac:dyDescent="0.2">
      <c r="A993" s="26">
        <v>3206</v>
      </c>
      <c r="B993" s="27" t="s">
        <v>1926</v>
      </c>
      <c r="C993" s="27" t="s">
        <v>48</v>
      </c>
      <c r="D993" s="28">
        <v>0.01</v>
      </c>
      <c r="E993" s="29">
        <v>39.979999999999997</v>
      </c>
      <c r="F993" s="29">
        <v>4</v>
      </c>
      <c r="G993" s="30" t="s">
        <v>39</v>
      </c>
      <c r="H993" s="27" t="s">
        <v>40</v>
      </c>
      <c r="I993" s="27" t="s">
        <v>41</v>
      </c>
      <c r="J993" s="27" t="s">
        <v>42</v>
      </c>
      <c r="K993" s="27" t="s">
        <v>73</v>
      </c>
      <c r="L993" s="31" t="s">
        <v>1927</v>
      </c>
      <c r="M993" s="32">
        <v>0.7</v>
      </c>
      <c r="N993" s="27" t="s">
        <v>33</v>
      </c>
      <c r="O993" s="27" t="s">
        <v>60</v>
      </c>
      <c r="P993" s="27" t="s">
        <v>490</v>
      </c>
      <c r="Q993" s="27" t="s">
        <v>1928</v>
      </c>
      <c r="R993" s="33">
        <v>83301</v>
      </c>
      <c r="S993" s="34">
        <v>42093</v>
      </c>
      <c r="T993" s="34">
        <v>42098</v>
      </c>
      <c r="U993" s="29">
        <v>51.59</v>
      </c>
      <c r="V993" s="26">
        <v>6</v>
      </c>
      <c r="W993" s="29">
        <v>257.52</v>
      </c>
      <c r="X993" s="26">
        <v>87933</v>
      </c>
      <c r="Y993" s="35">
        <v>5.91</v>
      </c>
      <c r="Z993" s="1" t="s">
        <v>3013</v>
      </c>
      <c r="AA993" s="36">
        <v>2.3988</v>
      </c>
      <c r="AB993" s="54">
        <v>77.256</v>
      </c>
      <c r="AC993" s="54">
        <v>30.043999999999993</v>
      </c>
      <c r="AD993" s="36">
        <v>199.53119999999998</v>
      </c>
    </row>
    <row r="994" spans="1:30" s="37" customFormat="1" ht="15.75" customHeight="1" x14ac:dyDescent="0.2">
      <c r="A994" s="26">
        <v>1314</v>
      </c>
      <c r="B994" s="27" t="s">
        <v>223</v>
      </c>
      <c r="C994" s="27" t="s">
        <v>116</v>
      </c>
      <c r="D994" s="28">
        <v>0.04</v>
      </c>
      <c r="E994" s="29">
        <v>5.34</v>
      </c>
      <c r="F994" s="29">
        <v>2.99</v>
      </c>
      <c r="G994" s="30" t="s">
        <v>39</v>
      </c>
      <c r="H994" s="27" t="s">
        <v>71</v>
      </c>
      <c r="I994" s="27" t="s">
        <v>49</v>
      </c>
      <c r="J994" s="27" t="s">
        <v>72</v>
      </c>
      <c r="K994" s="27" t="s">
        <v>73</v>
      </c>
      <c r="L994" s="31" t="s">
        <v>1378</v>
      </c>
      <c r="M994" s="32">
        <v>0.38</v>
      </c>
      <c r="N994" s="27" t="s">
        <v>33</v>
      </c>
      <c r="O994" s="27" t="s">
        <v>60</v>
      </c>
      <c r="P994" s="27" t="s">
        <v>90</v>
      </c>
      <c r="Q994" s="27" t="s">
        <v>100</v>
      </c>
      <c r="R994" s="33">
        <v>90058</v>
      </c>
      <c r="S994" s="34">
        <v>42093</v>
      </c>
      <c r="T994" s="34">
        <v>42095</v>
      </c>
      <c r="U994" s="29">
        <v>3.4510000000000001</v>
      </c>
      <c r="V994" s="26">
        <v>45</v>
      </c>
      <c r="W994" s="29">
        <v>240.6</v>
      </c>
      <c r="X994" s="26">
        <v>22755</v>
      </c>
      <c r="Y994" s="35">
        <v>39.97</v>
      </c>
      <c r="Z994" s="1" t="s">
        <v>3013</v>
      </c>
      <c r="AA994" s="36">
        <v>9.6120000000000001</v>
      </c>
      <c r="AB994" s="54">
        <v>149.172</v>
      </c>
      <c r="AC994" s="54">
        <v>2.0317333333333334</v>
      </c>
      <c r="AD994" s="36">
        <v>224.547</v>
      </c>
    </row>
    <row r="995" spans="1:30" s="37" customFormat="1" ht="15.75" customHeight="1" x14ac:dyDescent="0.2">
      <c r="A995" s="26">
        <v>1314</v>
      </c>
      <c r="B995" s="27" t="s">
        <v>223</v>
      </c>
      <c r="C995" s="27" t="s">
        <v>116</v>
      </c>
      <c r="D995" s="28">
        <v>0.06</v>
      </c>
      <c r="E995" s="29">
        <v>55.99</v>
      </c>
      <c r="F995" s="29">
        <v>5</v>
      </c>
      <c r="G995" s="30" t="s">
        <v>39</v>
      </c>
      <c r="H995" s="27" t="s">
        <v>71</v>
      </c>
      <c r="I995" s="27" t="s">
        <v>41</v>
      </c>
      <c r="J995" s="27" t="s">
        <v>135</v>
      </c>
      <c r="K995" s="27" t="s">
        <v>43</v>
      </c>
      <c r="L995" s="31" t="s">
        <v>1931</v>
      </c>
      <c r="M995" s="32">
        <v>0.8</v>
      </c>
      <c r="N995" s="27" t="s">
        <v>33</v>
      </c>
      <c r="O995" s="27" t="s">
        <v>60</v>
      </c>
      <c r="P995" s="27" t="s">
        <v>90</v>
      </c>
      <c r="Q995" s="27" t="s">
        <v>100</v>
      </c>
      <c r="R995" s="33">
        <v>90058</v>
      </c>
      <c r="S995" s="34">
        <v>42093</v>
      </c>
      <c r="T995" s="34">
        <v>42095</v>
      </c>
      <c r="U995" s="29">
        <v>-275.25299999999999</v>
      </c>
      <c r="V995" s="26">
        <v>5</v>
      </c>
      <c r="W995" s="29">
        <v>236.88</v>
      </c>
      <c r="X995" s="26">
        <v>22755</v>
      </c>
      <c r="Y995" s="35">
        <v>6.47</v>
      </c>
      <c r="Z995" s="1" t="s">
        <v>3013</v>
      </c>
      <c r="AA995" s="36">
        <v>16.797000000000001</v>
      </c>
      <c r="AB995" s="54">
        <v>47.375999999999991</v>
      </c>
      <c r="AC995" s="54">
        <v>37.900799999999997</v>
      </c>
      <c r="AD995" s="36">
        <v>490.33600000000001</v>
      </c>
    </row>
    <row r="996" spans="1:30" s="37" customFormat="1" ht="15.75" customHeight="1" x14ac:dyDescent="0.2">
      <c r="A996" s="26">
        <v>193</v>
      </c>
      <c r="B996" s="27" t="s">
        <v>179</v>
      </c>
      <c r="C996" s="27" t="s">
        <v>116</v>
      </c>
      <c r="D996" s="28">
        <v>7.0000000000000007E-2</v>
      </c>
      <c r="E996" s="29">
        <v>6.54</v>
      </c>
      <c r="F996" s="29">
        <v>5.27</v>
      </c>
      <c r="G996" s="30" t="s">
        <v>39</v>
      </c>
      <c r="H996" s="27" t="s">
        <v>94</v>
      </c>
      <c r="I996" s="27" t="s">
        <v>49</v>
      </c>
      <c r="J996" s="27" t="s">
        <v>72</v>
      </c>
      <c r="K996" s="27" t="s">
        <v>73</v>
      </c>
      <c r="L996" s="31" t="s">
        <v>1929</v>
      </c>
      <c r="M996" s="32">
        <v>0.36</v>
      </c>
      <c r="N996" s="27" t="s">
        <v>33</v>
      </c>
      <c r="O996" s="27" t="s">
        <v>60</v>
      </c>
      <c r="P996" s="27" t="s">
        <v>146</v>
      </c>
      <c r="Q996" s="27" t="s">
        <v>181</v>
      </c>
      <c r="R996" s="33">
        <v>84041</v>
      </c>
      <c r="S996" s="34">
        <v>42093</v>
      </c>
      <c r="T996" s="34">
        <v>42095</v>
      </c>
      <c r="U996" s="29">
        <v>-66.044499999999999</v>
      </c>
      <c r="V996" s="26">
        <v>21</v>
      </c>
      <c r="W996" s="29">
        <v>140.30000000000001</v>
      </c>
      <c r="X996" s="26">
        <v>90432</v>
      </c>
      <c r="Y996" s="35">
        <v>3.2</v>
      </c>
      <c r="Z996" s="1" t="s">
        <v>3013</v>
      </c>
      <c r="AA996" s="36">
        <v>9.6138000000000012</v>
      </c>
      <c r="AB996" s="54">
        <v>89.792000000000016</v>
      </c>
      <c r="AC996" s="54">
        <v>2.4051428571428572</v>
      </c>
      <c r="AD996" s="36">
        <v>191.46070000000003</v>
      </c>
    </row>
    <row r="997" spans="1:30" s="37" customFormat="1" ht="15.75" customHeight="1" x14ac:dyDescent="0.2">
      <c r="A997" s="26">
        <v>2351</v>
      </c>
      <c r="B997" s="27" t="s">
        <v>1920</v>
      </c>
      <c r="C997" s="27" t="s">
        <v>26</v>
      </c>
      <c r="D997" s="28">
        <v>0.08</v>
      </c>
      <c r="E997" s="29">
        <v>6.48</v>
      </c>
      <c r="F997" s="29">
        <v>7.49</v>
      </c>
      <c r="G997" s="30" t="s">
        <v>39</v>
      </c>
      <c r="H997" s="27" t="s">
        <v>94</v>
      </c>
      <c r="I997" s="27" t="s">
        <v>49</v>
      </c>
      <c r="J997" s="27" t="s">
        <v>88</v>
      </c>
      <c r="K997" s="27" t="s">
        <v>73</v>
      </c>
      <c r="L997" s="31" t="s">
        <v>1921</v>
      </c>
      <c r="M997" s="32">
        <v>0.37</v>
      </c>
      <c r="N997" s="27" t="s">
        <v>33</v>
      </c>
      <c r="O997" s="27" t="s">
        <v>111</v>
      </c>
      <c r="P997" s="27" t="s">
        <v>418</v>
      </c>
      <c r="Q997" s="27" t="s">
        <v>1922</v>
      </c>
      <c r="R997" s="33">
        <v>21114</v>
      </c>
      <c r="S997" s="34">
        <v>42093</v>
      </c>
      <c r="T997" s="34">
        <v>42096</v>
      </c>
      <c r="U997" s="29">
        <v>-119.32</v>
      </c>
      <c r="V997" s="26">
        <v>13</v>
      </c>
      <c r="W997" s="29">
        <v>80.86</v>
      </c>
      <c r="X997" s="26">
        <v>86163</v>
      </c>
      <c r="Y997" s="35">
        <v>80.87</v>
      </c>
      <c r="Z997" s="1" t="s">
        <v>3014</v>
      </c>
      <c r="AA997" s="36">
        <v>6.7392000000000012</v>
      </c>
      <c r="AB997" s="54">
        <v>50.941800000000001</v>
      </c>
      <c r="AC997" s="54">
        <v>2.3013999999999997</v>
      </c>
      <c r="AD997" s="36">
        <v>185.95080000000002</v>
      </c>
    </row>
    <row r="998" spans="1:30" s="37" customFormat="1" ht="15.75" customHeight="1" x14ac:dyDescent="0.2">
      <c r="A998" s="26">
        <v>194</v>
      </c>
      <c r="B998" s="27" t="s">
        <v>393</v>
      </c>
      <c r="C998" s="27" t="s">
        <v>116</v>
      </c>
      <c r="D998" s="28">
        <v>0.09</v>
      </c>
      <c r="E998" s="29">
        <v>3.29</v>
      </c>
      <c r="F998" s="29">
        <v>1.35</v>
      </c>
      <c r="G998" s="30" t="s">
        <v>39</v>
      </c>
      <c r="H998" s="27" t="s">
        <v>94</v>
      </c>
      <c r="I998" s="27" t="s">
        <v>49</v>
      </c>
      <c r="J998" s="27" t="s">
        <v>176</v>
      </c>
      <c r="K998" s="27" t="s">
        <v>51</v>
      </c>
      <c r="L998" s="31" t="s">
        <v>1668</v>
      </c>
      <c r="M998" s="32">
        <v>0.4</v>
      </c>
      <c r="N998" s="27" t="s">
        <v>33</v>
      </c>
      <c r="O998" s="27" t="s">
        <v>60</v>
      </c>
      <c r="P998" s="27" t="s">
        <v>146</v>
      </c>
      <c r="Q998" s="27" t="s">
        <v>395</v>
      </c>
      <c r="R998" s="33">
        <v>84043</v>
      </c>
      <c r="S998" s="34">
        <v>42093</v>
      </c>
      <c r="T998" s="34">
        <v>42095</v>
      </c>
      <c r="U998" s="29">
        <v>15.66</v>
      </c>
      <c r="V998" s="26">
        <v>23</v>
      </c>
      <c r="W998" s="29">
        <v>71.55</v>
      </c>
      <c r="X998" s="26">
        <v>90432</v>
      </c>
      <c r="Y998" s="35">
        <v>5.3</v>
      </c>
      <c r="Z998" s="1" t="s">
        <v>3013</v>
      </c>
      <c r="AA998" s="36">
        <v>6.8102999999999998</v>
      </c>
      <c r="AB998" s="54">
        <v>42.93</v>
      </c>
      <c r="AC998" s="54">
        <v>1.2443478260869565</v>
      </c>
      <c r="AD998" s="36">
        <v>47.729699999999994</v>
      </c>
    </row>
    <row r="999" spans="1:30" s="37" customFormat="1" ht="15.75" customHeight="1" x14ac:dyDescent="0.2">
      <c r="A999" s="26">
        <v>1316</v>
      </c>
      <c r="B999" s="27" t="s">
        <v>226</v>
      </c>
      <c r="C999" s="27" t="s">
        <v>116</v>
      </c>
      <c r="D999" s="28">
        <v>0.04</v>
      </c>
      <c r="E999" s="29">
        <v>5.34</v>
      </c>
      <c r="F999" s="29">
        <v>2.99</v>
      </c>
      <c r="G999" s="30" t="s">
        <v>39</v>
      </c>
      <c r="H999" s="27" t="s">
        <v>71</v>
      </c>
      <c r="I999" s="27" t="s">
        <v>49</v>
      </c>
      <c r="J999" s="27" t="s">
        <v>72</v>
      </c>
      <c r="K999" s="27" t="s">
        <v>73</v>
      </c>
      <c r="L999" s="31" t="s">
        <v>1378</v>
      </c>
      <c r="M999" s="32">
        <v>0.38</v>
      </c>
      <c r="N999" s="27" t="s">
        <v>33</v>
      </c>
      <c r="O999" s="27" t="s">
        <v>60</v>
      </c>
      <c r="P999" s="27" t="s">
        <v>61</v>
      </c>
      <c r="Q999" s="27" t="s">
        <v>227</v>
      </c>
      <c r="R999" s="33">
        <v>80022</v>
      </c>
      <c r="S999" s="34">
        <v>42093</v>
      </c>
      <c r="T999" s="34">
        <v>42095</v>
      </c>
      <c r="U999" s="29">
        <v>3.4510000000000001</v>
      </c>
      <c r="V999" s="26">
        <v>11</v>
      </c>
      <c r="W999" s="29">
        <v>58.81</v>
      </c>
      <c r="X999" s="26">
        <v>87602</v>
      </c>
      <c r="Y999" s="35">
        <v>55.93</v>
      </c>
      <c r="Z999" s="1" t="s">
        <v>3013</v>
      </c>
      <c r="AA999" s="36">
        <v>2.3496000000000001</v>
      </c>
      <c r="AB999" s="54">
        <v>36.462200000000003</v>
      </c>
      <c r="AC999" s="54">
        <v>2.0316181818181818</v>
      </c>
      <c r="AD999" s="36">
        <v>50.019400000000005</v>
      </c>
    </row>
    <row r="1000" spans="1:30" s="37" customFormat="1" ht="15.75" customHeight="1" x14ac:dyDescent="0.2">
      <c r="A1000" s="26">
        <v>3205</v>
      </c>
      <c r="B1000" s="27" t="s">
        <v>1925</v>
      </c>
      <c r="C1000" s="27" t="s">
        <v>48</v>
      </c>
      <c r="D1000" s="28">
        <v>7.0000000000000007E-2</v>
      </c>
      <c r="E1000" s="29">
        <v>5.98</v>
      </c>
      <c r="F1000" s="29">
        <v>0.96</v>
      </c>
      <c r="G1000" s="30" t="s">
        <v>39</v>
      </c>
      <c r="H1000" s="27" t="s">
        <v>40</v>
      </c>
      <c r="I1000" s="27" t="s">
        <v>49</v>
      </c>
      <c r="J1000" s="27" t="s">
        <v>50</v>
      </c>
      <c r="K1000" s="27" t="s">
        <v>51</v>
      </c>
      <c r="L1000" s="31" t="s">
        <v>1267</v>
      </c>
      <c r="M1000" s="32">
        <v>0.6</v>
      </c>
      <c r="N1000" s="27" t="s">
        <v>33</v>
      </c>
      <c r="O1000" s="27" t="s">
        <v>60</v>
      </c>
      <c r="P1000" s="27" t="s">
        <v>490</v>
      </c>
      <c r="Q1000" s="27" t="s">
        <v>494</v>
      </c>
      <c r="R1000" s="33">
        <v>83440</v>
      </c>
      <c r="S1000" s="34">
        <v>42093</v>
      </c>
      <c r="T1000" s="34">
        <v>42097</v>
      </c>
      <c r="U1000" s="29">
        <v>32.83</v>
      </c>
      <c r="V1000" s="26">
        <v>10</v>
      </c>
      <c r="W1000" s="29">
        <v>56.4</v>
      </c>
      <c r="X1000" s="26">
        <v>87933</v>
      </c>
      <c r="Y1000" s="35">
        <v>4.91</v>
      </c>
      <c r="Z1000" s="1" t="s">
        <v>3013</v>
      </c>
      <c r="AA1000" s="36">
        <v>4.1860000000000008</v>
      </c>
      <c r="AB1000" s="54">
        <v>22.560000000000002</v>
      </c>
      <c r="AC1000" s="54">
        <v>3.3839999999999999</v>
      </c>
      <c r="AD1000" s="36">
        <v>18.423999999999999</v>
      </c>
    </row>
    <row r="1001" spans="1:30" s="37" customFormat="1" ht="15.75" customHeight="1" x14ac:dyDescent="0.2">
      <c r="A1001" s="26">
        <v>1315</v>
      </c>
      <c r="B1001" s="27" t="s">
        <v>1932</v>
      </c>
      <c r="C1001" s="27" t="s">
        <v>116</v>
      </c>
      <c r="D1001" s="28">
        <v>0</v>
      </c>
      <c r="E1001" s="29">
        <v>4.91</v>
      </c>
      <c r="F1001" s="29">
        <v>5.68</v>
      </c>
      <c r="G1001" s="30" t="s">
        <v>39</v>
      </c>
      <c r="H1001" s="27" t="s">
        <v>71</v>
      </c>
      <c r="I1001" s="27" t="s">
        <v>49</v>
      </c>
      <c r="J1001" s="27" t="s">
        <v>72</v>
      </c>
      <c r="K1001" s="27" t="s">
        <v>73</v>
      </c>
      <c r="L1001" s="31" t="s">
        <v>1933</v>
      </c>
      <c r="M1001" s="32">
        <v>0.36</v>
      </c>
      <c r="N1001" s="27" t="s">
        <v>33</v>
      </c>
      <c r="O1001" s="27" t="s">
        <v>60</v>
      </c>
      <c r="P1001" s="27" t="s">
        <v>61</v>
      </c>
      <c r="Q1001" s="27" t="s">
        <v>1934</v>
      </c>
      <c r="R1001" s="33">
        <v>80906</v>
      </c>
      <c r="S1001" s="34">
        <v>42093</v>
      </c>
      <c r="T1001" s="34">
        <v>42094</v>
      </c>
      <c r="U1001" s="29">
        <v>-95.047499999999999</v>
      </c>
      <c r="V1001" s="26">
        <v>9</v>
      </c>
      <c r="W1001" s="29">
        <v>48.3</v>
      </c>
      <c r="X1001" s="26">
        <v>87602</v>
      </c>
      <c r="Y1001" s="35">
        <v>5.3</v>
      </c>
      <c r="Z1001" s="1" t="s">
        <v>3013</v>
      </c>
      <c r="AA1001" s="36">
        <v>0</v>
      </c>
      <c r="AB1001" s="54">
        <v>30.911999999999999</v>
      </c>
      <c r="AC1001" s="54">
        <v>1.9319999999999997</v>
      </c>
      <c r="AD1001" s="36">
        <v>137.66750000000002</v>
      </c>
    </row>
    <row r="1002" spans="1:30" s="37" customFormat="1" ht="15.75" customHeight="1" x14ac:dyDescent="0.2">
      <c r="A1002" s="26">
        <v>1316</v>
      </c>
      <c r="B1002" s="27" t="s">
        <v>226</v>
      </c>
      <c r="C1002" s="27" t="s">
        <v>116</v>
      </c>
      <c r="D1002" s="28">
        <v>0.06</v>
      </c>
      <c r="E1002" s="29">
        <v>55.99</v>
      </c>
      <c r="F1002" s="29">
        <v>5</v>
      </c>
      <c r="G1002" s="30" t="s">
        <v>39</v>
      </c>
      <c r="H1002" s="27" t="s">
        <v>71</v>
      </c>
      <c r="I1002" s="27" t="s">
        <v>41</v>
      </c>
      <c r="J1002" s="27" t="s">
        <v>135</v>
      </c>
      <c r="K1002" s="27" t="s">
        <v>43</v>
      </c>
      <c r="L1002" s="31" t="s">
        <v>1931</v>
      </c>
      <c r="M1002" s="32">
        <v>0.8</v>
      </c>
      <c r="N1002" s="27" t="s">
        <v>33</v>
      </c>
      <c r="O1002" s="27" t="s">
        <v>60</v>
      </c>
      <c r="P1002" s="27" t="s">
        <v>61</v>
      </c>
      <c r="Q1002" s="27" t="s">
        <v>227</v>
      </c>
      <c r="R1002" s="33">
        <v>80022</v>
      </c>
      <c r="S1002" s="34">
        <v>42093</v>
      </c>
      <c r="T1002" s="34">
        <v>42095</v>
      </c>
      <c r="U1002" s="29">
        <v>-275.25299999999999</v>
      </c>
      <c r="V1002" s="26">
        <v>1</v>
      </c>
      <c r="W1002" s="29">
        <v>47.38</v>
      </c>
      <c r="X1002" s="26">
        <v>87602</v>
      </c>
      <c r="Y1002" s="35">
        <v>55.93</v>
      </c>
      <c r="Z1002" s="1" t="s">
        <v>3013</v>
      </c>
      <c r="AA1002" s="36">
        <v>3.3593999999999999</v>
      </c>
      <c r="AB1002" s="54">
        <v>9.4759999999999991</v>
      </c>
      <c r="AC1002" s="54">
        <v>37.904000000000003</v>
      </c>
      <c r="AD1002" s="36">
        <v>314.27359999999999</v>
      </c>
    </row>
    <row r="1003" spans="1:30" s="37" customFormat="1" ht="15.75" customHeight="1" x14ac:dyDescent="0.2">
      <c r="A1003" s="26">
        <v>3252</v>
      </c>
      <c r="B1003" s="27" t="s">
        <v>1923</v>
      </c>
      <c r="C1003" s="27" t="s">
        <v>26</v>
      </c>
      <c r="D1003" s="28">
        <v>0.01</v>
      </c>
      <c r="E1003" s="29">
        <v>11.34</v>
      </c>
      <c r="F1003" s="29">
        <v>5.01</v>
      </c>
      <c r="G1003" s="30" t="s">
        <v>39</v>
      </c>
      <c r="H1003" s="27" t="s">
        <v>3095</v>
      </c>
      <c r="I1003" s="27" t="s">
        <v>49</v>
      </c>
      <c r="J1003" s="27" t="s">
        <v>88</v>
      </c>
      <c r="K1003" s="27" t="s">
        <v>73</v>
      </c>
      <c r="L1003" s="31" t="s">
        <v>415</v>
      </c>
      <c r="M1003" s="32">
        <v>0.36</v>
      </c>
      <c r="N1003" s="27" t="s">
        <v>33</v>
      </c>
      <c r="O1003" s="27" t="s">
        <v>111</v>
      </c>
      <c r="P1003" s="27" t="s">
        <v>112</v>
      </c>
      <c r="Q1003" s="27" t="s">
        <v>1924</v>
      </c>
      <c r="R1003" s="33">
        <v>12306</v>
      </c>
      <c r="S1003" s="34">
        <v>42093</v>
      </c>
      <c r="T1003" s="34">
        <v>42095</v>
      </c>
      <c r="U1003" s="29">
        <v>-11.83</v>
      </c>
      <c r="V1003" s="26">
        <v>1</v>
      </c>
      <c r="W1003" s="29">
        <v>14.52</v>
      </c>
      <c r="X1003" s="26">
        <v>87296</v>
      </c>
      <c r="Y1003" s="35">
        <v>40.909999999999997</v>
      </c>
      <c r="Z1003" s="1" t="s">
        <v>3014</v>
      </c>
      <c r="AA1003" s="36">
        <v>0.1134</v>
      </c>
      <c r="AB1003" s="54">
        <v>9.2927999999999997</v>
      </c>
      <c r="AC1003" s="54">
        <v>5.2271999999999998</v>
      </c>
      <c r="AD1003" s="36">
        <v>21.226599999999998</v>
      </c>
    </row>
    <row r="1004" spans="1:30" s="37" customFormat="1" ht="15.75" customHeight="1" x14ac:dyDescent="0.2">
      <c r="A1004" s="26">
        <v>1083</v>
      </c>
      <c r="B1004" s="27" t="s">
        <v>1937</v>
      </c>
      <c r="C1004" s="27" t="s">
        <v>3094</v>
      </c>
      <c r="D1004" s="28">
        <v>7.0000000000000007E-2</v>
      </c>
      <c r="E1004" s="29">
        <v>55.99</v>
      </c>
      <c r="F1004" s="29">
        <v>5</v>
      </c>
      <c r="G1004" s="30" t="s">
        <v>87</v>
      </c>
      <c r="H1004" s="27" t="s">
        <v>94</v>
      </c>
      <c r="I1004" s="27" t="s">
        <v>41</v>
      </c>
      <c r="J1004" s="27" t="s">
        <v>135</v>
      </c>
      <c r="K1004" s="27" t="s">
        <v>43</v>
      </c>
      <c r="L1004" s="31" t="s">
        <v>1938</v>
      </c>
      <c r="M1004" s="32">
        <v>0.83</v>
      </c>
      <c r="N1004" s="27" t="s">
        <v>33</v>
      </c>
      <c r="O1004" s="27" t="s">
        <v>53</v>
      </c>
      <c r="P1004" s="27" t="s">
        <v>103</v>
      </c>
      <c r="Q1004" s="27" t="s">
        <v>878</v>
      </c>
      <c r="R1004" s="33">
        <v>62701</v>
      </c>
      <c r="S1004" s="34">
        <v>42094</v>
      </c>
      <c r="T1004" s="34">
        <v>42096</v>
      </c>
      <c r="U1004" s="29">
        <v>-232.99100000000001</v>
      </c>
      <c r="V1004" s="26">
        <v>1</v>
      </c>
      <c r="W1004" s="29">
        <v>54.08</v>
      </c>
      <c r="X1004" s="26">
        <v>88460</v>
      </c>
      <c r="Y1004" s="35">
        <v>20.9</v>
      </c>
      <c r="Z1004" s="1" t="s">
        <v>3012</v>
      </c>
      <c r="AA1004" s="36">
        <v>3.9193000000000007</v>
      </c>
      <c r="AB1004" s="54">
        <v>9.1936000000000018</v>
      </c>
      <c r="AC1004" s="54">
        <v>44.886399999999995</v>
      </c>
      <c r="AD1004" s="36">
        <v>278.15170000000001</v>
      </c>
    </row>
    <row r="1005" spans="1:30" s="37" customFormat="1" ht="15.75" customHeight="1" x14ac:dyDescent="0.2">
      <c r="A1005" s="26">
        <v>2066</v>
      </c>
      <c r="B1005" s="27" t="s">
        <v>1872</v>
      </c>
      <c r="C1005" s="27" t="s">
        <v>26</v>
      </c>
      <c r="D1005" s="28">
        <v>0.09</v>
      </c>
      <c r="E1005" s="29">
        <v>20.99</v>
      </c>
      <c r="F1005" s="29">
        <v>4.8099999999999996</v>
      </c>
      <c r="G1005" s="30" t="s">
        <v>87</v>
      </c>
      <c r="H1005" s="27" t="s">
        <v>71</v>
      </c>
      <c r="I1005" s="27" t="s">
        <v>41</v>
      </c>
      <c r="J1005" s="27" t="s">
        <v>135</v>
      </c>
      <c r="K1005" s="27" t="s">
        <v>144</v>
      </c>
      <c r="L1005" s="31" t="s">
        <v>1431</v>
      </c>
      <c r="M1005" s="32">
        <v>0.57999999999999996</v>
      </c>
      <c r="N1005" s="27" t="s">
        <v>33</v>
      </c>
      <c r="O1005" s="27" t="s">
        <v>34</v>
      </c>
      <c r="P1005" s="27" t="s">
        <v>97</v>
      </c>
      <c r="Q1005" s="27" t="s">
        <v>1874</v>
      </c>
      <c r="R1005" s="33">
        <v>28079</v>
      </c>
      <c r="S1005" s="34">
        <v>42094</v>
      </c>
      <c r="T1005" s="34">
        <v>42095</v>
      </c>
      <c r="U1005" s="29">
        <v>272.69400000000002</v>
      </c>
      <c r="V1005" s="26">
        <v>2</v>
      </c>
      <c r="W1005" s="29">
        <v>38.979999999999997</v>
      </c>
      <c r="X1005" s="26">
        <v>85834</v>
      </c>
      <c r="Y1005" s="35">
        <v>1.6199999999999999</v>
      </c>
      <c r="Z1005" s="1" t="s">
        <v>3011</v>
      </c>
      <c r="AA1005" s="36">
        <v>3.7781999999999996</v>
      </c>
      <c r="AB1005" s="54">
        <v>16.371600000000001</v>
      </c>
      <c r="AC1005" s="54">
        <v>11.304199999999998</v>
      </c>
      <c r="AD1005" s="36">
        <v>-242.30220000000006</v>
      </c>
    </row>
    <row r="1006" spans="1:30" s="37" customFormat="1" ht="15.75" customHeight="1" x14ac:dyDescent="0.2">
      <c r="A1006" s="26">
        <v>3177</v>
      </c>
      <c r="B1006" s="27" t="s">
        <v>1642</v>
      </c>
      <c r="C1006" s="27" t="s">
        <v>26</v>
      </c>
      <c r="D1006" s="28">
        <v>0.06</v>
      </c>
      <c r="E1006" s="29">
        <v>1.68</v>
      </c>
      <c r="F1006" s="29">
        <v>1</v>
      </c>
      <c r="G1006" s="30" t="s">
        <v>39</v>
      </c>
      <c r="H1006" s="27" t="s">
        <v>40</v>
      </c>
      <c r="I1006" s="27" t="s">
        <v>49</v>
      </c>
      <c r="J1006" s="27" t="s">
        <v>50</v>
      </c>
      <c r="K1006" s="27" t="s">
        <v>51</v>
      </c>
      <c r="L1006" s="31" t="s">
        <v>420</v>
      </c>
      <c r="M1006" s="32">
        <v>0.35</v>
      </c>
      <c r="N1006" s="27" t="s">
        <v>33</v>
      </c>
      <c r="O1006" s="27" t="s">
        <v>34</v>
      </c>
      <c r="P1006" s="27" t="s">
        <v>123</v>
      </c>
      <c r="Q1006" s="27" t="s">
        <v>1643</v>
      </c>
      <c r="R1006" s="33">
        <v>33458</v>
      </c>
      <c r="S1006" s="34">
        <v>42094</v>
      </c>
      <c r="T1006" s="34">
        <v>42096</v>
      </c>
      <c r="U1006" s="29">
        <v>-1319.5</v>
      </c>
      <c r="V1006" s="26">
        <v>5</v>
      </c>
      <c r="W1006" s="29">
        <v>8.65</v>
      </c>
      <c r="X1006" s="26">
        <v>90819</v>
      </c>
      <c r="Y1006" s="35">
        <v>55.92</v>
      </c>
      <c r="Z1006" s="1" t="s">
        <v>3011</v>
      </c>
      <c r="AA1006" s="36">
        <v>0.50399999999999989</v>
      </c>
      <c r="AB1006" s="54">
        <v>5.6225000000000005</v>
      </c>
      <c r="AC1006" s="54">
        <v>0.60549999999999993</v>
      </c>
      <c r="AD1006" s="36">
        <v>1326.6460000000002</v>
      </c>
    </row>
    <row r="1007" spans="1:30" s="37" customFormat="1" ht="15.75" customHeight="1" x14ac:dyDescent="0.2">
      <c r="A1007" s="26">
        <v>2859</v>
      </c>
      <c r="B1007" s="27" t="s">
        <v>1955</v>
      </c>
      <c r="C1007" s="27" t="s">
        <v>3094</v>
      </c>
      <c r="D1007" s="28">
        <v>0.03</v>
      </c>
      <c r="E1007" s="29">
        <v>142.86000000000001</v>
      </c>
      <c r="F1007" s="29">
        <v>19.989999999999998</v>
      </c>
      <c r="G1007" s="30" t="s">
        <v>39</v>
      </c>
      <c r="H1007" s="27" t="s">
        <v>94</v>
      </c>
      <c r="I1007" s="27" t="s">
        <v>49</v>
      </c>
      <c r="J1007" s="27" t="s">
        <v>78</v>
      </c>
      <c r="K1007" s="27" t="s">
        <v>73</v>
      </c>
      <c r="L1007" s="31" t="s">
        <v>1956</v>
      </c>
      <c r="M1007" s="32">
        <v>0.56000000000000005</v>
      </c>
      <c r="N1007" s="27" t="s">
        <v>33</v>
      </c>
      <c r="O1007" s="27" t="s">
        <v>34</v>
      </c>
      <c r="P1007" s="27" t="s">
        <v>123</v>
      </c>
      <c r="Q1007" s="27" t="s">
        <v>1957</v>
      </c>
      <c r="R1007" s="33">
        <v>32601</v>
      </c>
      <c r="S1007" s="34">
        <v>42095</v>
      </c>
      <c r="T1007" s="34">
        <v>42097</v>
      </c>
      <c r="U1007" s="29">
        <v>-8.3880999999999997</v>
      </c>
      <c r="V1007" s="26">
        <v>23</v>
      </c>
      <c r="W1007" s="29">
        <v>3292.02</v>
      </c>
      <c r="X1007" s="26">
        <v>88281</v>
      </c>
      <c r="Y1007" s="35">
        <v>60.919999999999995</v>
      </c>
      <c r="Z1007" s="1" t="s">
        <v>3011</v>
      </c>
      <c r="AA1007" s="36">
        <v>98.573400000000007</v>
      </c>
      <c r="AB1007" s="54">
        <v>1448.4887999999999</v>
      </c>
      <c r="AC1007" s="54">
        <v>80.15353043478261</v>
      </c>
      <c r="AD1007" s="36">
        <v>3181.8447000000001</v>
      </c>
    </row>
    <row r="1008" spans="1:30" s="37" customFormat="1" ht="15.75" customHeight="1" x14ac:dyDescent="0.2">
      <c r="A1008" s="26">
        <v>568</v>
      </c>
      <c r="B1008" s="27" t="s">
        <v>1482</v>
      </c>
      <c r="C1008" s="27" t="s">
        <v>116</v>
      </c>
      <c r="D1008" s="28">
        <v>0.08</v>
      </c>
      <c r="E1008" s="29">
        <v>67.28</v>
      </c>
      <c r="F1008" s="29">
        <v>19.989999999999998</v>
      </c>
      <c r="G1008" s="30" t="s">
        <v>87</v>
      </c>
      <c r="H1008" s="27" t="s">
        <v>40</v>
      </c>
      <c r="I1008" s="27" t="s">
        <v>49</v>
      </c>
      <c r="J1008" s="27" t="s">
        <v>72</v>
      </c>
      <c r="K1008" s="27" t="s">
        <v>73</v>
      </c>
      <c r="L1008" s="31" t="s">
        <v>1951</v>
      </c>
      <c r="M1008" s="32">
        <v>0.4</v>
      </c>
      <c r="N1008" s="27" t="s">
        <v>33</v>
      </c>
      <c r="O1008" s="27" t="s">
        <v>34</v>
      </c>
      <c r="P1008" s="27" t="s">
        <v>35</v>
      </c>
      <c r="Q1008" s="27" t="s">
        <v>1483</v>
      </c>
      <c r="R1008" s="33">
        <v>39701</v>
      </c>
      <c r="S1008" s="34">
        <v>42095</v>
      </c>
      <c r="T1008" s="34">
        <v>42097</v>
      </c>
      <c r="U1008" s="29">
        <v>224.85059999999999</v>
      </c>
      <c r="V1008" s="26">
        <v>16</v>
      </c>
      <c r="W1008" s="29">
        <v>1066.54</v>
      </c>
      <c r="X1008" s="26">
        <v>88882</v>
      </c>
      <c r="Y1008" s="35">
        <v>6.4300000000000006</v>
      </c>
      <c r="Z1008" s="1" t="s">
        <v>3011</v>
      </c>
      <c r="AA1008" s="36">
        <v>86.118400000000008</v>
      </c>
      <c r="AB1008" s="54">
        <v>639.92399999999998</v>
      </c>
      <c r="AC1008" s="54">
        <v>26.663499999999999</v>
      </c>
      <c r="AD1008" s="36">
        <v>735.5809999999999</v>
      </c>
    </row>
    <row r="1009" spans="1:30" s="37" customFormat="1" ht="15.75" customHeight="1" x14ac:dyDescent="0.2">
      <c r="A1009" s="26">
        <v>1849</v>
      </c>
      <c r="B1009" s="27" t="s">
        <v>1947</v>
      </c>
      <c r="C1009" s="27" t="s">
        <v>38</v>
      </c>
      <c r="D1009" s="28">
        <v>0.09</v>
      </c>
      <c r="E1009" s="29">
        <v>35.99</v>
      </c>
      <c r="F1009" s="29">
        <v>1.1000000000000001</v>
      </c>
      <c r="G1009" s="30" t="s">
        <v>39</v>
      </c>
      <c r="H1009" s="27" t="s">
        <v>40</v>
      </c>
      <c r="I1009" s="27" t="s">
        <v>41</v>
      </c>
      <c r="J1009" s="27" t="s">
        <v>135</v>
      </c>
      <c r="K1009" s="27" t="s">
        <v>73</v>
      </c>
      <c r="L1009" s="31" t="s">
        <v>274</v>
      </c>
      <c r="M1009" s="32">
        <v>0.55000000000000004</v>
      </c>
      <c r="N1009" s="27" t="s">
        <v>33</v>
      </c>
      <c r="O1009" s="27" t="s">
        <v>34</v>
      </c>
      <c r="P1009" s="27" t="s">
        <v>164</v>
      </c>
      <c r="Q1009" s="27" t="s">
        <v>1948</v>
      </c>
      <c r="R1009" s="33">
        <v>36330</v>
      </c>
      <c r="S1009" s="34">
        <v>42095</v>
      </c>
      <c r="T1009" s="34">
        <v>42097</v>
      </c>
      <c r="U1009" s="29">
        <v>19.350000000000001</v>
      </c>
      <c r="V1009" s="26">
        <v>8</v>
      </c>
      <c r="W1009" s="29">
        <v>222.71</v>
      </c>
      <c r="X1009" s="26">
        <v>89697</v>
      </c>
      <c r="Y1009" s="35">
        <v>55.940000000000005</v>
      </c>
      <c r="Z1009" s="1" t="s">
        <v>3011</v>
      </c>
      <c r="AA1009" s="36">
        <v>25.912800000000001</v>
      </c>
      <c r="AB1009" s="54">
        <v>100.2195</v>
      </c>
      <c r="AC1009" s="54">
        <v>15.311312500000001</v>
      </c>
      <c r="AD1009" s="36">
        <v>176.34719999999999</v>
      </c>
    </row>
    <row r="1010" spans="1:30" s="37" customFormat="1" ht="15.75" customHeight="1" x14ac:dyDescent="0.2">
      <c r="A1010" s="26">
        <v>1849</v>
      </c>
      <c r="B1010" s="27" t="s">
        <v>1947</v>
      </c>
      <c r="C1010" s="27" t="s">
        <v>38</v>
      </c>
      <c r="D1010" s="28">
        <v>0.01</v>
      </c>
      <c r="E1010" s="29">
        <v>125.99</v>
      </c>
      <c r="F1010" s="29">
        <v>2.5</v>
      </c>
      <c r="G1010" s="30" t="s">
        <v>39</v>
      </c>
      <c r="H1010" s="27" t="s">
        <v>40</v>
      </c>
      <c r="I1010" s="27" t="s">
        <v>41</v>
      </c>
      <c r="J1010" s="27" t="s">
        <v>135</v>
      </c>
      <c r="K1010" s="27" t="s">
        <v>73</v>
      </c>
      <c r="L1010" s="31" t="s">
        <v>948</v>
      </c>
      <c r="M1010" s="32">
        <v>0.6</v>
      </c>
      <c r="N1010" s="27" t="s">
        <v>33</v>
      </c>
      <c r="O1010" s="27" t="s">
        <v>34</v>
      </c>
      <c r="P1010" s="27" t="s">
        <v>164</v>
      </c>
      <c r="Q1010" s="27" t="s">
        <v>1948</v>
      </c>
      <c r="R1010" s="33">
        <v>36330</v>
      </c>
      <c r="S1010" s="34">
        <v>42095</v>
      </c>
      <c r="T1010" s="34">
        <v>42096</v>
      </c>
      <c r="U1010" s="29">
        <v>-967.83399999999995</v>
      </c>
      <c r="V1010" s="26">
        <v>2</v>
      </c>
      <c r="W1010" s="29">
        <v>220.52</v>
      </c>
      <c r="X1010" s="26">
        <v>89697</v>
      </c>
      <c r="Y1010" s="35">
        <v>35.9</v>
      </c>
      <c r="Z1010" s="1" t="s">
        <v>3011</v>
      </c>
      <c r="AA1010" s="36">
        <v>2.5198</v>
      </c>
      <c r="AB1010" s="54">
        <v>88.208000000000013</v>
      </c>
      <c r="AC1010" s="54">
        <v>66.156000000000006</v>
      </c>
      <c r="AD1010" s="36">
        <v>1183.3342</v>
      </c>
    </row>
    <row r="1011" spans="1:30" s="37" customFormat="1" ht="15.75" customHeight="1" x14ac:dyDescent="0.2">
      <c r="A1011" s="26">
        <v>623</v>
      </c>
      <c r="B1011" s="27" t="s">
        <v>1942</v>
      </c>
      <c r="C1011" s="27" t="s">
        <v>38</v>
      </c>
      <c r="D1011" s="28">
        <v>0.05</v>
      </c>
      <c r="E1011" s="29">
        <v>6.48</v>
      </c>
      <c r="F1011" s="29">
        <v>8.4</v>
      </c>
      <c r="G1011" s="30" t="s">
        <v>39</v>
      </c>
      <c r="H1011" s="27" t="s">
        <v>71</v>
      </c>
      <c r="I1011" s="27" t="s">
        <v>49</v>
      </c>
      <c r="J1011" s="27" t="s">
        <v>88</v>
      </c>
      <c r="K1011" s="27" t="s">
        <v>73</v>
      </c>
      <c r="L1011" s="31" t="s">
        <v>1943</v>
      </c>
      <c r="M1011" s="32">
        <v>0.37</v>
      </c>
      <c r="N1011" s="27" t="s">
        <v>33</v>
      </c>
      <c r="O1011" s="27" t="s">
        <v>111</v>
      </c>
      <c r="P1011" s="27" t="s">
        <v>1356</v>
      </c>
      <c r="Q1011" s="27" t="s">
        <v>1944</v>
      </c>
      <c r="R1011" s="33">
        <v>3101</v>
      </c>
      <c r="S1011" s="34">
        <v>42095</v>
      </c>
      <c r="T1011" s="34">
        <v>42097</v>
      </c>
      <c r="U1011" s="29">
        <v>-226.34639999999999</v>
      </c>
      <c r="V1011" s="26">
        <v>21</v>
      </c>
      <c r="W1011" s="29">
        <v>136.99</v>
      </c>
      <c r="X1011" s="26">
        <v>91433</v>
      </c>
      <c r="Y1011" s="35">
        <v>125.97999999999999</v>
      </c>
      <c r="Z1011" s="1" t="s">
        <v>3014</v>
      </c>
      <c r="AA1011" s="36">
        <v>6.8040000000000012</v>
      </c>
      <c r="AB1011" s="54">
        <v>86.303700000000006</v>
      </c>
      <c r="AC1011" s="54">
        <v>2.4136333333333333</v>
      </c>
      <c r="AD1011" s="36">
        <v>348.13239999999996</v>
      </c>
    </row>
    <row r="1012" spans="1:30" s="37" customFormat="1" ht="15.75" customHeight="1" x14ac:dyDescent="0.2">
      <c r="A1012" s="26">
        <v>3224</v>
      </c>
      <c r="B1012" s="27" t="s">
        <v>1939</v>
      </c>
      <c r="C1012" s="27" t="s">
        <v>26</v>
      </c>
      <c r="D1012" s="28">
        <v>0.06</v>
      </c>
      <c r="E1012" s="29">
        <v>60.98</v>
      </c>
      <c r="F1012" s="29">
        <v>30</v>
      </c>
      <c r="G1012" s="30" t="s">
        <v>27</v>
      </c>
      <c r="H1012" s="27" t="s">
        <v>3095</v>
      </c>
      <c r="I1012" s="27" t="s">
        <v>29</v>
      </c>
      <c r="J1012" s="27" t="s">
        <v>109</v>
      </c>
      <c r="K1012" s="27" t="s">
        <v>58</v>
      </c>
      <c r="L1012" s="31" t="s">
        <v>1940</v>
      </c>
      <c r="M1012" s="32">
        <v>0.7</v>
      </c>
      <c r="N1012" s="27" t="s">
        <v>33</v>
      </c>
      <c r="O1012" s="27" t="s">
        <v>34</v>
      </c>
      <c r="P1012" s="27" t="s">
        <v>400</v>
      </c>
      <c r="Q1012" s="27" t="s">
        <v>1941</v>
      </c>
      <c r="R1012" s="33">
        <v>37066</v>
      </c>
      <c r="S1012" s="34">
        <v>42095</v>
      </c>
      <c r="T1012" s="34">
        <v>42096</v>
      </c>
      <c r="U1012" s="29">
        <v>-74.087999999999994</v>
      </c>
      <c r="V1012" s="26">
        <v>2</v>
      </c>
      <c r="W1012" s="29">
        <v>125.9</v>
      </c>
      <c r="X1012" s="26">
        <v>86508</v>
      </c>
      <c r="Y1012" s="35">
        <v>5.12</v>
      </c>
      <c r="Z1012" s="1" t="s">
        <v>3011</v>
      </c>
      <c r="AA1012" s="36">
        <v>7.3175999999999997</v>
      </c>
      <c r="AB1012" s="54">
        <v>37.77000000000001</v>
      </c>
      <c r="AC1012" s="54">
        <v>44.064999999999998</v>
      </c>
      <c r="AD1012" s="36">
        <v>162.6704</v>
      </c>
    </row>
    <row r="1013" spans="1:30" s="37" customFormat="1" ht="15.75" customHeight="1" x14ac:dyDescent="0.2">
      <c r="A1013" s="26">
        <v>624</v>
      </c>
      <c r="B1013" s="27" t="s">
        <v>1945</v>
      </c>
      <c r="C1013" s="27" t="s">
        <v>38</v>
      </c>
      <c r="D1013" s="28">
        <v>0.05</v>
      </c>
      <c r="E1013" s="29">
        <v>55.99</v>
      </c>
      <c r="F1013" s="29">
        <v>5</v>
      </c>
      <c r="G1013" s="30" t="s">
        <v>39</v>
      </c>
      <c r="H1013" s="27" t="s">
        <v>71</v>
      </c>
      <c r="I1013" s="27" t="s">
        <v>41</v>
      </c>
      <c r="J1013" s="27" t="s">
        <v>135</v>
      </c>
      <c r="K1013" s="27" t="s">
        <v>43</v>
      </c>
      <c r="L1013" s="31" t="s">
        <v>1931</v>
      </c>
      <c r="M1013" s="32">
        <v>0.8</v>
      </c>
      <c r="N1013" s="27" t="s">
        <v>33</v>
      </c>
      <c r="O1013" s="27" t="s">
        <v>111</v>
      </c>
      <c r="P1013" s="27" t="s">
        <v>633</v>
      </c>
      <c r="Q1013" s="27" t="s">
        <v>1946</v>
      </c>
      <c r="R1013" s="33">
        <v>5701</v>
      </c>
      <c r="S1013" s="34">
        <v>42095</v>
      </c>
      <c r="T1013" s="34">
        <v>42095</v>
      </c>
      <c r="U1013" s="29">
        <v>-281.17583999999999</v>
      </c>
      <c r="V1013" s="26">
        <v>2</v>
      </c>
      <c r="W1013" s="29">
        <v>99.36</v>
      </c>
      <c r="X1013" s="26">
        <v>91433</v>
      </c>
      <c r="Y1013" s="35">
        <v>67.2</v>
      </c>
      <c r="Z1013" s="1" t="s">
        <v>3014</v>
      </c>
      <c r="AA1013" s="36">
        <v>5.5990000000000002</v>
      </c>
      <c r="AB1013" s="54">
        <v>19.871999999999996</v>
      </c>
      <c r="AC1013" s="54">
        <v>39.744</v>
      </c>
      <c r="AD1013" s="36">
        <v>369.93684000000002</v>
      </c>
    </row>
    <row r="1014" spans="1:30" s="37" customFormat="1" ht="15.75" customHeight="1" x14ac:dyDescent="0.2">
      <c r="A1014" s="26">
        <v>3246</v>
      </c>
      <c r="B1014" s="27" t="s">
        <v>1949</v>
      </c>
      <c r="C1014" s="27" t="s">
        <v>48</v>
      </c>
      <c r="D1014" s="28">
        <v>0.06</v>
      </c>
      <c r="E1014" s="29">
        <v>5.18</v>
      </c>
      <c r="F1014" s="29">
        <v>2.04</v>
      </c>
      <c r="G1014" s="30" t="s">
        <v>39</v>
      </c>
      <c r="H1014" s="27" t="s">
        <v>3095</v>
      </c>
      <c r="I1014" s="27" t="s">
        <v>49</v>
      </c>
      <c r="J1014" s="27" t="s">
        <v>88</v>
      </c>
      <c r="K1014" s="27" t="s">
        <v>51</v>
      </c>
      <c r="L1014" s="31" t="s">
        <v>833</v>
      </c>
      <c r="M1014" s="32">
        <v>0.36</v>
      </c>
      <c r="N1014" s="27" t="s">
        <v>33</v>
      </c>
      <c r="O1014" s="27" t="s">
        <v>111</v>
      </c>
      <c r="P1014" s="27" t="s">
        <v>1356</v>
      </c>
      <c r="Q1014" s="27" t="s">
        <v>1950</v>
      </c>
      <c r="R1014" s="33">
        <v>3051</v>
      </c>
      <c r="S1014" s="34">
        <v>42095</v>
      </c>
      <c r="T1014" s="34">
        <v>42095</v>
      </c>
      <c r="U1014" s="29">
        <v>1.9503999999999999</v>
      </c>
      <c r="V1014" s="26">
        <v>4</v>
      </c>
      <c r="W1014" s="29">
        <v>21.86</v>
      </c>
      <c r="X1014" s="26">
        <v>88330</v>
      </c>
      <c r="Y1014" s="35">
        <v>11.27</v>
      </c>
      <c r="Z1014" s="1" t="s">
        <v>3014</v>
      </c>
      <c r="AA1014" s="36">
        <v>1.2431999999999999</v>
      </c>
      <c r="AB1014" s="54">
        <v>13.990399999999999</v>
      </c>
      <c r="AC1014" s="54">
        <v>1.9673999999999998</v>
      </c>
      <c r="AD1014" s="36">
        <v>16.6264</v>
      </c>
    </row>
    <row r="1015" spans="1:30" s="37" customFormat="1" ht="15.75" customHeight="1" x14ac:dyDescent="0.2">
      <c r="A1015" s="26">
        <v>3306</v>
      </c>
      <c r="B1015" s="27" t="s">
        <v>1952</v>
      </c>
      <c r="C1015" s="27" t="s">
        <v>116</v>
      </c>
      <c r="D1015" s="28">
        <v>0.06</v>
      </c>
      <c r="E1015" s="29">
        <v>11.33</v>
      </c>
      <c r="F1015" s="29">
        <v>6.12</v>
      </c>
      <c r="G1015" s="30" t="s">
        <v>39</v>
      </c>
      <c r="H1015" s="27" t="s">
        <v>3095</v>
      </c>
      <c r="I1015" s="27" t="s">
        <v>49</v>
      </c>
      <c r="J1015" s="27" t="s">
        <v>95</v>
      </c>
      <c r="K1015" s="27" t="s">
        <v>144</v>
      </c>
      <c r="L1015" s="31" t="s">
        <v>1953</v>
      </c>
      <c r="M1015" s="32">
        <v>0.42</v>
      </c>
      <c r="N1015" s="27" t="s">
        <v>33</v>
      </c>
      <c r="O1015" s="27" t="s">
        <v>111</v>
      </c>
      <c r="P1015" s="27" t="s">
        <v>248</v>
      </c>
      <c r="Q1015" s="27" t="s">
        <v>1954</v>
      </c>
      <c r="R1015" s="33">
        <v>6320</v>
      </c>
      <c r="S1015" s="34">
        <v>42095</v>
      </c>
      <c r="T1015" s="34">
        <v>42097</v>
      </c>
      <c r="U1015" s="29">
        <v>-15.92</v>
      </c>
      <c r="V1015" s="26">
        <v>1</v>
      </c>
      <c r="W1015" s="29">
        <v>17.62</v>
      </c>
      <c r="X1015" s="26">
        <v>90461</v>
      </c>
      <c r="Y1015" s="35">
        <v>142.83000000000001</v>
      </c>
      <c r="Z1015" s="1" t="s">
        <v>3014</v>
      </c>
      <c r="AA1015" s="36">
        <v>0.67979999999999996</v>
      </c>
      <c r="AB1015" s="54">
        <v>10.219600000000002</v>
      </c>
      <c r="AC1015" s="54">
        <v>7.4004000000000003</v>
      </c>
      <c r="AD1015" s="36">
        <v>26.740200000000002</v>
      </c>
    </row>
    <row r="1016" spans="1:30" s="37" customFormat="1" ht="15.75" customHeight="1" x14ac:dyDescent="0.2">
      <c r="A1016" s="26">
        <v>198</v>
      </c>
      <c r="B1016" s="27" t="s">
        <v>1960</v>
      </c>
      <c r="C1016" s="27" t="s">
        <v>26</v>
      </c>
      <c r="D1016" s="28">
        <v>0</v>
      </c>
      <c r="E1016" s="29">
        <v>161.55000000000001</v>
      </c>
      <c r="F1016" s="29">
        <v>19.989999999999998</v>
      </c>
      <c r="G1016" s="30" t="s">
        <v>39</v>
      </c>
      <c r="H1016" s="27" t="s">
        <v>3095</v>
      </c>
      <c r="I1016" s="27" t="s">
        <v>49</v>
      </c>
      <c r="J1016" s="27" t="s">
        <v>78</v>
      </c>
      <c r="K1016" s="27" t="s">
        <v>73</v>
      </c>
      <c r="L1016" s="31" t="s">
        <v>79</v>
      </c>
      <c r="M1016" s="32">
        <v>0.66</v>
      </c>
      <c r="N1016" s="27" t="s">
        <v>33</v>
      </c>
      <c r="O1016" s="27" t="s">
        <v>53</v>
      </c>
      <c r="P1016" s="27" t="s">
        <v>289</v>
      </c>
      <c r="Q1016" s="27" t="s">
        <v>1163</v>
      </c>
      <c r="R1016" s="33">
        <v>48138</v>
      </c>
      <c r="S1016" s="34">
        <v>42096</v>
      </c>
      <c r="T1016" s="34">
        <v>42098</v>
      </c>
      <c r="U1016" s="29">
        <v>1014.92</v>
      </c>
      <c r="V1016" s="26">
        <v>77</v>
      </c>
      <c r="W1016" s="29">
        <v>12599.55</v>
      </c>
      <c r="X1016" s="26">
        <v>51072</v>
      </c>
      <c r="Y1016" s="35">
        <v>161.55000000000001</v>
      </c>
      <c r="Z1016" s="1" t="s">
        <v>3012</v>
      </c>
      <c r="AA1016" s="36">
        <v>0</v>
      </c>
      <c r="AB1016" s="54">
        <v>4283.8469999999998</v>
      </c>
      <c r="AC1016" s="54">
        <v>107.99614285714286</v>
      </c>
      <c r="AD1016" s="36">
        <v>11564.64</v>
      </c>
    </row>
    <row r="1017" spans="1:30" s="37" customFormat="1" ht="15.75" customHeight="1" x14ac:dyDescent="0.2">
      <c r="A1017" s="26">
        <v>1112</v>
      </c>
      <c r="B1017" s="27" t="s">
        <v>1969</v>
      </c>
      <c r="C1017" s="27" t="s">
        <v>3094</v>
      </c>
      <c r="D1017" s="28">
        <v>0.02</v>
      </c>
      <c r="E1017" s="29">
        <v>2550.14</v>
      </c>
      <c r="F1017" s="29">
        <v>29.7</v>
      </c>
      <c r="G1017" s="30" t="s">
        <v>27</v>
      </c>
      <c r="H1017" s="27" t="s">
        <v>94</v>
      </c>
      <c r="I1017" s="27" t="s">
        <v>41</v>
      </c>
      <c r="J1017" s="27" t="s">
        <v>57</v>
      </c>
      <c r="K1017" s="27" t="s">
        <v>58</v>
      </c>
      <c r="L1017" s="31" t="s">
        <v>1972</v>
      </c>
      <c r="M1017" s="32">
        <v>0.56999999999999995</v>
      </c>
      <c r="N1017" s="27" t="s">
        <v>33</v>
      </c>
      <c r="O1017" s="27" t="s">
        <v>60</v>
      </c>
      <c r="P1017" s="27" t="s">
        <v>90</v>
      </c>
      <c r="Q1017" s="27" t="s">
        <v>1971</v>
      </c>
      <c r="R1017" s="33">
        <v>92399</v>
      </c>
      <c r="S1017" s="34">
        <v>42096</v>
      </c>
      <c r="T1017" s="34">
        <v>42098</v>
      </c>
      <c r="U1017" s="29">
        <v>-5390.7388920000003</v>
      </c>
      <c r="V1017" s="26">
        <v>2</v>
      </c>
      <c r="W1017" s="29">
        <v>4698.21</v>
      </c>
      <c r="X1017" s="26">
        <v>90832</v>
      </c>
      <c r="Y1017" s="35">
        <v>161.55000000000001</v>
      </c>
      <c r="Z1017" s="1" t="s">
        <v>3013</v>
      </c>
      <c r="AA1017" s="36">
        <v>102.0056</v>
      </c>
      <c r="AB1017" s="54">
        <v>2020.2303000000002</v>
      </c>
      <c r="AC1017" s="54">
        <v>1338.9898499999999</v>
      </c>
      <c r="AD1017" s="36">
        <v>9957.2432919999992</v>
      </c>
    </row>
    <row r="1018" spans="1:30" s="37" customFormat="1" ht="15.75" customHeight="1" x14ac:dyDescent="0.2">
      <c r="A1018" s="26">
        <v>1112</v>
      </c>
      <c r="B1018" s="27" t="s">
        <v>1969</v>
      </c>
      <c r="C1018" s="27" t="s">
        <v>3094</v>
      </c>
      <c r="D1018" s="28">
        <v>0.03</v>
      </c>
      <c r="E1018" s="29">
        <v>300.98</v>
      </c>
      <c r="F1018" s="29">
        <v>54.92</v>
      </c>
      <c r="G1018" s="30" t="s">
        <v>27</v>
      </c>
      <c r="H1018" s="27" t="s">
        <v>94</v>
      </c>
      <c r="I1018" s="27" t="s">
        <v>29</v>
      </c>
      <c r="J1018" s="27" t="s">
        <v>117</v>
      </c>
      <c r="K1018" s="27" t="s">
        <v>31</v>
      </c>
      <c r="L1018" s="31" t="s">
        <v>1970</v>
      </c>
      <c r="M1018" s="32">
        <v>0.55000000000000004</v>
      </c>
      <c r="N1018" s="27" t="s">
        <v>33</v>
      </c>
      <c r="O1018" s="27" t="s">
        <v>60</v>
      </c>
      <c r="P1018" s="27" t="s">
        <v>90</v>
      </c>
      <c r="Q1018" s="27" t="s">
        <v>1971</v>
      </c>
      <c r="R1018" s="33">
        <v>92399</v>
      </c>
      <c r="S1018" s="34">
        <v>42096</v>
      </c>
      <c r="T1018" s="34">
        <v>42098</v>
      </c>
      <c r="U1018" s="29">
        <v>1272.5808</v>
      </c>
      <c r="V1018" s="26">
        <v>12</v>
      </c>
      <c r="W1018" s="29">
        <v>3527.82</v>
      </c>
      <c r="X1018" s="26">
        <v>90832</v>
      </c>
      <c r="Y1018" s="35">
        <v>90.199999999999989</v>
      </c>
      <c r="Z1018" s="1" t="s">
        <v>3013</v>
      </c>
      <c r="AA1018" s="36">
        <v>108.3528</v>
      </c>
      <c r="AB1018" s="54">
        <v>1587.519</v>
      </c>
      <c r="AC1018" s="54">
        <v>161.69175000000001</v>
      </c>
      <c r="AD1018" s="36">
        <v>2091.9664000000002</v>
      </c>
    </row>
    <row r="1019" spans="1:30" s="37" customFormat="1" ht="15.75" customHeight="1" x14ac:dyDescent="0.2">
      <c r="A1019" s="26">
        <v>197</v>
      </c>
      <c r="B1019" s="27" t="s">
        <v>1958</v>
      </c>
      <c r="C1019" s="27" t="s">
        <v>26</v>
      </c>
      <c r="D1019" s="28">
        <v>0</v>
      </c>
      <c r="E1019" s="29">
        <v>161.55000000000001</v>
      </c>
      <c r="F1019" s="29">
        <v>19.989999999999998</v>
      </c>
      <c r="G1019" s="30" t="s">
        <v>39</v>
      </c>
      <c r="H1019" s="27" t="s">
        <v>3095</v>
      </c>
      <c r="I1019" s="27" t="s">
        <v>49</v>
      </c>
      <c r="J1019" s="27" t="s">
        <v>78</v>
      </c>
      <c r="K1019" s="27" t="s">
        <v>73</v>
      </c>
      <c r="L1019" s="31" t="s">
        <v>79</v>
      </c>
      <c r="M1019" s="32">
        <v>0.66</v>
      </c>
      <c r="N1019" s="27" t="s">
        <v>33</v>
      </c>
      <c r="O1019" s="27" t="s">
        <v>53</v>
      </c>
      <c r="P1019" s="27" t="s">
        <v>537</v>
      </c>
      <c r="Q1019" s="27" t="s">
        <v>1959</v>
      </c>
      <c r="R1019" s="33">
        <v>66212</v>
      </c>
      <c r="S1019" s="34">
        <v>42096</v>
      </c>
      <c r="T1019" s="34">
        <v>42098</v>
      </c>
      <c r="U1019" s="29">
        <v>1167.1579999999999</v>
      </c>
      <c r="V1019" s="26">
        <v>19</v>
      </c>
      <c r="W1019" s="29">
        <v>3108.98</v>
      </c>
      <c r="X1019" s="26">
        <v>88921</v>
      </c>
      <c r="Y1019" s="35">
        <v>47.809999999999995</v>
      </c>
      <c r="Z1019" s="1" t="s">
        <v>3012</v>
      </c>
      <c r="AA1019" s="36">
        <v>0</v>
      </c>
      <c r="AB1019" s="54">
        <v>1057.0531999999998</v>
      </c>
      <c r="AC1019" s="54">
        <v>107.99614736842105</v>
      </c>
      <c r="AD1019" s="36">
        <v>1921.8320000000001</v>
      </c>
    </row>
    <row r="1020" spans="1:30" s="37" customFormat="1" ht="15.75" customHeight="1" x14ac:dyDescent="0.2">
      <c r="A1020" s="26">
        <v>228</v>
      </c>
      <c r="B1020" s="27" t="s">
        <v>1964</v>
      </c>
      <c r="C1020" s="27" t="s">
        <v>116</v>
      </c>
      <c r="D1020" s="28">
        <v>0.03</v>
      </c>
      <c r="E1020" s="29">
        <v>60.89</v>
      </c>
      <c r="F1020" s="29">
        <v>32.409999999999997</v>
      </c>
      <c r="G1020" s="30" t="s">
        <v>27</v>
      </c>
      <c r="H1020" s="27" t="s">
        <v>3095</v>
      </c>
      <c r="I1020" s="27" t="s">
        <v>29</v>
      </c>
      <c r="J1020" s="27" t="s">
        <v>109</v>
      </c>
      <c r="K1020" s="27" t="s">
        <v>58</v>
      </c>
      <c r="L1020" s="31" t="s">
        <v>1965</v>
      </c>
      <c r="M1020" s="32">
        <v>0.56000000000000005</v>
      </c>
      <c r="N1020" s="27" t="s">
        <v>33</v>
      </c>
      <c r="O1020" s="27" t="s">
        <v>34</v>
      </c>
      <c r="P1020" s="27" t="s">
        <v>97</v>
      </c>
      <c r="Q1020" s="27" t="s">
        <v>1966</v>
      </c>
      <c r="R1020" s="33">
        <v>28227</v>
      </c>
      <c r="S1020" s="34">
        <v>42096</v>
      </c>
      <c r="T1020" s="34">
        <v>42097</v>
      </c>
      <c r="U1020" s="29">
        <v>36.353999999999999</v>
      </c>
      <c r="V1020" s="26">
        <v>7</v>
      </c>
      <c r="W1020" s="29">
        <v>450.49</v>
      </c>
      <c r="X1020" s="26">
        <v>88527</v>
      </c>
      <c r="Y1020" s="35">
        <v>60.86</v>
      </c>
      <c r="Z1020" s="1" t="s">
        <v>3011</v>
      </c>
      <c r="AA1020" s="36">
        <v>12.786899999999999</v>
      </c>
      <c r="AB1020" s="54">
        <v>198.21559999999997</v>
      </c>
      <c r="AC1020" s="54">
        <v>36.039200000000001</v>
      </c>
      <c r="AD1020" s="36">
        <v>368.9391</v>
      </c>
    </row>
    <row r="1021" spans="1:30" s="37" customFormat="1" ht="15.75" customHeight="1" x14ac:dyDescent="0.2">
      <c r="A1021" s="26">
        <v>2667</v>
      </c>
      <c r="B1021" s="27" t="s">
        <v>1961</v>
      </c>
      <c r="C1021" s="27" t="s">
        <v>38</v>
      </c>
      <c r="D1021" s="28">
        <v>0.04</v>
      </c>
      <c r="E1021" s="29">
        <v>90.24</v>
      </c>
      <c r="F1021" s="29">
        <v>0.99</v>
      </c>
      <c r="G1021" s="30" t="s">
        <v>39</v>
      </c>
      <c r="H1021" s="27" t="s">
        <v>71</v>
      </c>
      <c r="I1021" s="27" t="s">
        <v>49</v>
      </c>
      <c r="J1021" s="27" t="s">
        <v>95</v>
      </c>
      <c r="K1021" s="27" t="s">
        <v>73</v>
      </c>
      <c r="L1021" s="31" t="s">
        <v>1962</v>
      </c>
      <c r="M1021" s="32">
        <v>0.56000000000000005</v>
      </c>
      <c r="N1021" s="27" t="s">
        <v>33</v>
      </c>
      <c r="O1021" s="27" t="s">
        <v>111</v>
      </c>
      <c r="P1021" s="27" t="s">
        <v>317</v>
      </c>
      <c r="Q1021" s="27" t="s">
        <v>1963</v>
      </c>
      <c r="R1021" s="33">
        <v>44107</v>
      </c>
      <c r="S1021" s="34">
        <v>42096</v>
      </c>
      <c r="T1021" s="34">
        <v>42098</v>
      </c>
      <c r="U1021" s="29">
        <v>246.2748</v>
      </c>
      <c r="V1021" s="26">
        <v>4</v>
      </c>
      <c r="W1021" s="29">
        <v>356.92</v>
      </c>
      <c r="X1021" s="26">
        <v>87831</v>
      </c>
      <c r="Y1021" s="35">
        <v>37.839999999999996</v>
      </c>
      <c r="Z1021" s="1" t="s">
        <v>3014</v>
      </c>
      <c r="AA1021" s="36">
        <v>14.4384</v>
      </c>
      <c r="AB1021" s="54">
        <v>157.04479999999998</v>
      </c>
      <c r="AC1021" s="54">
        <v>49.968800000000009</v>
      </c>
      <c r="AD1021" s="36">
        <v>95.216800000000035</v>
      </c>
    </row>
    <row r="1022" spans="1:30" s="37" customFormat="1" ht="15.75" customHeight="1" x14ac:dyDescent="0.2">
      <c r="A1022" s="26">
        <v>1777</v>
      </c>
      <c r="B1022" s="27" t="s">
        <v>172</v>
      </c>
      <c r="C1022" s="27" t="s">
        <v>3094</v>
      </c>
      <c r="D1022" s="28">
        <v>0.03</v>
      </c>
      <c r="E1022" s="29">
        <v>19.989999999999998</v>
      </c>
      <c r="F1022" s="29">
        <v>11.17</v>
      </c>
      <c r="G1022" s="30" t="s">
        <v>39</v>
      </c>
      <c r="H1022" s="27" t="s">
        <v>94</v>
      </c>
      <c r="I1022" s="27" t="s">
        <v>29</v>
      </c>
      <c r="J1022" s="27" t="s">
        <v>126</v>
      </c>
      <c r="K1022" s="27" t="s">
        <v>65</v>
      </c>
      <c r="L1022" s="31" t="s">
        <v>489</v>
      </c>
      <c r="M1022" s="32">
        <v>0.6</v>
      </c>
      <c r="N1022" s="27" t="s">
        <v>33</v>
      </c>
      <c r="O1022" s="27" t="s">
        <v>53</v>
      </c>
      <c r="P1022" s="27" t="s">
        <v>54</v>
      </c>
      <c r="Q1022" s="27" t="s">
        <v>174</v>
      </c>
      <c r="R1022" s="33">
        <v>46383</v>
      </c>
      <c r="S1022" s="34">
        <v>42096</v>
      </c>
      <c r="T1022" s="34">
        <v>42097</v>
      </c>
      <c r="U1022" s="29">
        <v>-20.8764</v>
      </c>
      <c r="V1022" s="26">
        <v>12</v>
      </c>
      <c r="W1022" s="29">
        <v>251.61</v>
      </c>
      <c r="X1022" s="26">
        <v>89942</v>
      </c>
      <c r="Y1022" s="35">
        <v>300.95000000000005</v>
      </c>
      <c r="Z1022" s="1" t="s">
        <v>3012</v>
      </c>
      <c r="AA1022" s="36">
        <v>7.1963999999999988</v>
      </c>
      <c r="AB1022" s="54">
        <v>100.64400000000001</v>
      </c>
      <c r="AC1022" s="54">
        <v>12.580500000000001</v>
      </c>
      <c r="AD1022" s="36">
        <v>254.12</v>
      </c>
    </row>
    <row r="1023" spans="1:30" s="37" customFormat="1" ht="15.75" customHeight="1" x14ac:dyDescent="0.2">
      <c r="A1023" s="26">
        <v>2957</v>
      </c>
      <c r="B1023" s="27" t="s">
        <v>1967</v>
      </c>
      <c r="C1023" s="27" t="s">
        <v>116</v>
      </c>
      <c r="D1023" s="28">
        <v>0.1</v>
      </c>
      <c r="E1023" s="29">
        <v>37.94</v>
      </c>
      <c r="F1023" s="29">
        <v>5.08</v>
      </c>
      <c r="G1023" s="30" t="s">
        <v>87</v>
      </c>
      <c r="H1023" s="27" t="s">
        <v>94</v>
      </c>
      <c r="I1023" s="27" t="s">
        <v>49</v>
      </c>
      <c r="J1023" s="27" t="s">
        <v>88</v>
      </c>
      <c r="K1023" s="27" t="s">
        <v>51</v>
      </c>
      <c r="L1023" s="31" t="s">
        <v>1113</v>
      </c>
      <c r="M1023" s="32">
        <v>0.38</v>
      </c>
      <c r="N1023" s="27" t="s">
        <v>33</v>
      </c>
      <c r="O1023" s="27" t="s">
        <v>53</v>
      </c>
      <c r="P1023" s="27" t="s">
        <v>357</v>
      </c>
      <c r="Q1023" s="27" t="s">
        <v>1968</v>
      </c>
      <c r="R1023" s="33">
        <v>53209</v>
      </c>
      <c r="S1023" s="34">
        <v>42096</v>
      </c>
      <c r="T1023" s="34">
        <v>42098</v>
      </c>
      <c r="U1023" s="29">
        <v>95.054400000000001</v>
      </c>
      <c r="V1023" s="26">
        <v>4</v>
      </c>
      <c r="W1023" s="29">
        <v>137.76</v>
      </c>
      <c r="X1023" s="26">
        <v>90264</v>
      </c>
      <c r="Y1023" s="35">
        <v>2550.12</v>
      </c>
      <c r="Z1023" s="1" t="s">
        <v>3012</v>
      </c>
      <c r="AA1023" s="36">
        <v>15.176</v>
      </c>
      <c r="AB1023" s="54">
        <v>85.411199999999994</v>
      </c>
      <c r="AC1023" s="54">
        <v>13.087199999999999</v>
      </c>
      <c r="AD1023" s="36">
        <v>22.44959999999999</v>
      </c>
    </row>
    <row r="1024" spans="1:30" s="37" customFormat="1" ht="15.75" customHeight="1" x14ac:dyDescent="0.2">
      <c r="A1024" s="26">
        <v>2667</v>
      </c>
      <c r="B1024" s="27" t="s">
        <v>1961</v>
      </c>
      <c r="C1024" s="27" t="s">
        <v>38</v>
      </c>
      <c r="D1024" s="28">
        <v>0.09</v>
      </c>
      <c r="E1024" s="29">
        <v>47.9</v>
      </c>
      <c r="F1024" s="29">
        <v>5.86</v>
      </c>
      <c r="G1024" s="30" t="s">
        <v>87</v>
      </c>
      <c r="H1024" s="27" t="s">
        <v>71</v>
      </c>
      <c r="I1024" s="27" t="s">
        <v>49</v>
      </c>
      <c r="J1024" s="27" t="s">
        <v>88</v>
      </c>
      <c r="K1024" s="27" t="s">
        <v>73</v>
      </c>
      <c r="L1024" s="31" t="s">
        <v>1309</v>
      </c>
      <c r="M1024" s="32">
        <v>0.37</v>
      </c>
      <c r="N1024" s="27" t="s">
        <v>33</v>
      </c>
      <c r="O1024" s="27" t="s">
        <v>111</v>
      </c>
      <c r="P1024" s="27" t="s">
        <v>317</v>
      </c>
      <c r="Q1024" s="27" t="s">
        <v>1963</v>
      </c>
      <c r="R1024" s="33">
        <v>44107</v>
      </c>
      <c r="S1024" s="34">
        <v>42096</v>
      </c>
      <c r="T1024" s="34">
        <v>42098</v>
      </c>
      <c r="U1024" s="29">
        <v>93.950400000000002</v>
      </c>
      <c r="V1024" s="26">
        <v>3</v>
      </c>
      <c r="W1024" s="29">
        <v>136.16</v>
      </c>
      <c r="X1024" s="26">
        <v>87831</v>
      </c>
      <c r="Y1024" s="35">
        <v>19.959999999999997</v>
      </c>
      <c r="Z1024" s="1" t="s">
        <v>3014</v>
      </c>
      <c r="AA1024" s="36">
        <v>12.933</v>
      </c>
      <c r="AB1024" s="54">
        <v>85.780799999999999</v>
      </c>
      <c r="AC1024" s="54">
        <v>16.793066666666665</v>
      </c>
      <c r="AD1024" s="36">
        <v>23.416599999999988</v>
      </c>
    </row>
    <row r="1025" spans="1:30" s="37" customFormat="1" ht="15.75" customHeight="1" x14ac:dyDescent="0.2">
      <c r="A1025" s="26">
        <v>1733</v>
      </c>
      <c r="B1025" s="27" t="s">
        <v>2001</v>
      </c>
      <c r="C1025" s="27" t="s">
        <v>3094</v>
      </c>
      <c r="D1025" s="28">
        <v>0.02</v>
      </c>
      <c r="E1025" s="29">
        <v>1270.99</v>
      </c>
      <c r="F1025" s="29">
        <v>19.989999999999998</v>
      </c>
      <c r="G1025" s="30" t="s">
        <v>39</v>
      </c>
      <c r="H1025" s="27" t="s">
        <v>3095</v>
      </c>
      <c r="I1025" s="27" t="s">
        <v>49</v>
      </c>
      <c r="J1025" s="27" t="s">
        <v>72</v>
      </c>
      <c r="K1025" s="27" t="s">
        <v>73</v>
      </c>
      <c r="L1025" s="31" t="s">
        <v>652</v>
      </c>
      <c r="M1025" s="32">
        <v>0.35</v>
      </c>
      <c r="N1025" s="27" t="s">
        <v>33</v>
      </c>
      <c r="O1025" s="27" t="s">
        <v>111</v>
      </c>
      <c r="P1025" s="27" t="s">
        <v>374</v>
      </c>
      <c r="Q1025" s="27" t="s">
        <v>67</v>
      </c>
      <c r="R1025" s="33">
        <v>20012</v>
      </c>
      <c r="S1025" s="34">
        <v>42098</v>
      </c>
      <c r="T1025" s="34">
        <v>42100</v>
      </c>
      <c r="U1025" s="29">
        <v>9228.2255999999998</v>
      </c>
      <c r="V1025" s="26">
        <v>36</v>
      </c>
      <c r="W1025" s="29">
        <v>45737.33</v>
      </c>
      <c r="X1025" s="26">
        <v>3841</v>
      </c>
      <c r="Y1025" s="35">
        <v>6.4200000000000008</v>
      </c>
      <c r="Z1025" s="1" t="s">
        <v>3014</v>
      </c>
      <c r="AA1025" s="36">
        <v>915.11280000000011</v>
      </c>
      <c r="AB1025" s="54">
        <v>29729.264500000001</v>
      </c>
      <c r="AC1025" s="54">
        <v>444.66848611111106</v>
      </c>
      <c r="AD1025" s="36">
        <v>35574.001600000003</v>
      </c>
    </row>
    <row r="1026" spans="1:30" s="37" customFormat="1" ht="15.75" customHeight="1" x14ac:dyDescent="0.2">
      <c r="A1026" s="26">
        <v>1734</v>
      </c>
      <c r="B1026" s="27" t="s">
        <v>2002</v>
      </c>
      <c r="C1026" s="27" t="s">
        <v>3094</v>
      </c>
      <c r="D1026" s="28">
        <v>0.02</v>
      </c>
      <c r="E1026" s="29">
        <v>1270.99</v>
      </c>
      <c r="F1026" s="29">
        <v>19.989999999999998</v>
      </c>
      <c r="G1026" s="30" t="s">
        <v>39</v>
      </c>
      <c r="H1026" s="27" t="s">
        <v>3095</v>
      </c>
      <c r="I1026" s="27" t="s">
        <v>49</v>
      </c>
      <c r="J1026" s="27" t="s">
        <v>72</v>
      </c>
      <c r="K1026" s="27" t="s">
        <v>73</v>
      </c>
      <c r="L1026" s="31" t="s">
        <v>652</v>
      </c>
      <c r="M1026" s="32">
        <v>0.35</v>
      </c>
      <c r="N1026" s="27" t="s">
        <v>33</v>
      </c>
      <c r="O1026" s="27" t="s">
        <v>111</v>
      </c>
      <c r="P1026" s="27" t="s">
        <v>112</v>
      </c>
      <c r="Q1026" s="27" t="s">
        <v>2003</v>
      </c>
      <c r="R1026" s="33">
        <v>10528</v>
      </c>
      <c r="S1026" s="34">
        <v>42098</v>
      </c>
      <c r="T1026" s="34">
        <v>42100</v>
      </c>
      <c r="U1026" s="29">
        <v>7889.6877000000004</v>
      </c>
      <c r="V1026" s="26">
        <v>9</v>
      </c>
      <c r="W1026" s="29">
        <v>11434.33</v>
      </c>
      <c r="X1026" s="26">
        <v>88443</v>
      </c>
      <c r="Y1026" s="35">
        <v>59.75</v>
      </c>
      <c r="Z1026" s="1" t="s">
        <v>3014</v>
      </c>
      <c r="AA1026" s="36">
        <v>228.77820000000003</v>
      </c>
      <c r="AB1026" s="54">
        <v>7432.3145000000004</v>
      </c>
      <c r="AC1026" s="54">
        <v>444.6683888888889</v>
      </c>
      <c r="AD1026" s="36">
        <v>3295.8741</v>
      </c>
    </row>
    <row r="1027" spans="1:30" s="37" customFormat="1" ht="15.75" customHeight="1" x14ac:dyDescent="0.2">
      <c r="A1027" s="26">
        <v>1734</v>
      </c>
      <c r="B1027" s="27" t="s">
        <v>2002</v>
      </c>
      <c r="C1027" s="27" t="s">
        <v>3094</v>
      </c>
      <c r="D1027" s="28">
        <v>0.05</v>
      </c>
      <c r="E1027" s="29">
        <v>205.99</v>
      </c>
      <c r="F1027" s="29">
        <v>8.99</v>
      </c>
      <c r="G1027" s="30" t="s">
        <v>87</v>
      </c>
      <c r="H1027" s="27" t="s">
        <v>3095</v>
      </c>
      <c r="I1027" s="27" t="s">
        <v>41</v>
      </c>
      <c r="J1027" s="27" t="s">
        <v>135</v>
      </c>
      <c r="K1027" s="27" t="s">
        <v>73</v>
      </c>
      <c r="L1027" s="31" t="s">
        <v>1032</v>
      </c>
      <c r="M1027" s="32">
        <v>0.6</v>
      </c>
      <c r="N1027" s="27" t="s">
        <v>33</v>
      </c>
      <c r="O1027" s="27" t="s">
        <v>111</v>
      </c>
      <c r="P1027" s="27" t="s">
        <v>112</v>
      </c>
      <c r="Q1027" s="27" t="s">
        <v>2003</v>
      </c>
      <c r="R1027" s="33">
        <v>10528</v>
      </c>
      <c r="S1027" s="34">
        <v>42098</v>
      </c>
      <c r="T1027" s="34">
        <v>42100</v>
      </c>
      <c r="U1027" s="29">
        <v>1545.8097600000001</v>
      </c>
      <c r="V1027" s="26">
        <v>19</v>
      </c>
      <c r="W1027" s="29">
        <v>3229.24</v>
      </c>
      <c r="X1027" s="26">
        <v>88443</v>
      </c>
      <c r="Y1027" s="35">
        <v>7.38</v>
      </c>
      <c r="Z1027" s="1" t="s">
        <v>3014</v>
      </c>
      <c r="AA1027" s="36">
        <v>195.69050000000004</v>
      </c>
      <c r="AB1027" s="54">
        <v>1291.6959999999999</v>
      </c>
      <c r="AC1027" s="54">
        <v>101.97599999999998</v>
      </c>
      <c r="AD1027" s="36">
        <v>1478.7497399999997</v>
      </c>
    </row>
    <row r="1028" spans="1:30" s="37" customFormat="1" ht="15.75" customHeight="1" x14ac:dyDescent="0.2">
      <c r="A1028" s="26">
        <v>1733</v>
      </c>
      <c r="B1028" s="27" t="s">
        <v>2001</v>
      </c>
      <c r="C1028" s="27" t="s">
        <v>3094</v>
      </c>
      <c r="D1028" s="28">
        <v>0.02</v>
      </c>
      <c r="E1028" s="29">
        <v>60.98</v>
      </c>
      <c r="F1028" s="29">
        <v>49</v>
      </c>
      <c r="G1028" s="30" t="s">
        <v>39</v>
      </c>
      <c r="H1028" s="27" t="s">
        <v>3095</v>
      </c>
      <c r="I1028" s="27" t="s">
        <v>49</v>
      </c>
      <c r="J1028" s="27" t="s">
        <v>95</v>
      </c>
      <c r="K1028" s="27" t="s">
        <v>65</v>
      </c>
      <c r="L1028" s="31" t="s">
        <v>1530</v>
      </c>
      <c r="M1028" s="32">
        <v>0.59</v>
      </c>
      <c r="N1028" s="27" t="s">
        <v>33</v>
      </c>
      <c r="O1028" s="27" t="s">
        <v>111</v>
      </c>
      <c r="P1028" s="27" t="s">
        <v>374</v>
      </c>
      <c r="Q1028" s="27" t="s">
        <v>67</v>
      </c>
      <c r="R1028" s="33">
        <v>20012</v>
      </c>
      <c r="S1028" s="34">
        <v>42098</v>
      </c>
      <c r="T1028" s="34">
        <v>42100</v>
      </c>
      <c r="U1028" s="29">
        <v>-662.52</v>
      </c>
      <c r="V1028" s="26">
        <v>34</v>
      </c>
      <c r="W1028" s="29">
        <v>2119.54</v>
      </c>
      <c r="X1028" s="26">
        <v>3841</v>
      </c>
      <c r="Y1028" s="35">
        <v>8.2900000000000009</v>
      </c>
      <c r="Z1028" s="1" t="s">
        <v>3014</v>
      </c>
      <c r="AA1028" s="36">
        <v>41.4664</v>
      </c>
      <c r="AB1028" s="54">
        <v>869.01140000000009</v>
      </c>
      <c r="AC1028" s="54">
        <v>36.780252941176464</v>
      </c>
      <c r="AD1028" s="36">
        <v>2691.5936000000002</v>
      </c>
    </row>
    <row r="1029" spans="1:30" s="37" customFormat="1" ht="15.75" customHeight="1" x14ac:dyDescent="0.2">
      <c r="A1029" s="26">
        <v>2548</v>
      </c>
      <c r="B1029" s="27" t="s">
        <v>1984</v>
      </c>
      <c r="C1029" s="27" t="s">
        <v>48</v>
      </c>
      <c r="D1029" s="28">
        <v>0</v>
      </c>
      <c r="E1029" s="29">
        <v>35.99</v>
      </c>
      <c r="F1029" s="29">
        <v>0.99</v>
      </c>
      <c r="G1029" s="30" t="s">
        <v>39</v>
      </c>
      <c r="H1029" s="27" t="s">
        <v>3095</v>
      </c>
      <c r="I1029" s="27" t="s">
        <v>41</v>
      </c>
      <c r="J1029" s="27" t="s">
        <v>135</v>
      </c>
      <c r="K1029" s="27" t="s">
        <v>43</v>
      </c>
      <c r="L1029" s="31" t="s">
        <v>1985</v>
      </c>
      <c r="M1029" s="32">
        <v>0.35</v>
      </c>
      <c r="N1029" s="27" t="s">
        <v>33</v>
      </c>
      <c r="O1029" s="27" t="s">
        <v>60</v>
      </c>
      <c r="P1029" s="27" t="s">
        <v>90</v>
      </c>
      <c r="Q1029" s="27" t="s">
        <v>100</v>
      </c>
      <c r="R1029" s="33">
        <v>90068</v>
      </c>
      <c r="S1029" s="34">
        <v>42098</v>
      </c>
      <c r="T1029" s="34">
        <v>42105</v>
      </c>
      <c r="U1029" s="29">
        <v>840.05100000000004</v>
      </c>
      <c r="V1029" s="26">
        <v>46</v>
      </c>
      <c r="W1029" s="29">
        <v>1477.57</v>
      </c>
      <c r="X1029" s="26">
        <v>46436</v>
      </c>
      <c r="Y1029" s="35">
        <v>2.12</v>
      </c>
      <c r="Z1029" s="1" t="s">
        <v>3013</v>
      </c>
      <c r="AA1029" s="36">
        <v>0</v>
      </c>
      <c r="AB1029" s="54">
        <v>960.42049999999995</v>
      </c>
      <c r="AC1029" s="54">
        <v>11.242380434782607</v>
      </c>
      <c r="AD1029" s="36">
        <v>636.52899999999988</v>
      </c>
    </row>
    <row r="1030" spans="1:30" s="37" customFormat="1" ht="15.75" customHeight="1" x14ac:dyDescent="0.2">
      <c r="A1030" s="26">
        <v>2441</v>
      </c>
      <c r="B1030" s="27" t="s">
        <v>1993</v>
      </c>
      <c r="C1030" s="27" t="s">
        <v>116</v>
      </c>
      <c r="D1030" s="28">
        <v>0.02</v>
      </c>
      <c r="E1030" s="29">
        <v>63.94</v>
      </c>
      <c r="F1030" s="29">
        <v>14.48</v>
      </c>
      <c r="G1030" s="30" t="s">
        <v>39</v>
      </c>
      <c r="H1030" s="27" t="s">
        <v>40</v>
      </c>
      <c r="I1030" s="27" t="s">
        <v>29</v>
      </c>
      <c r="J1030" s="27" t="s">
        <v>126</v>
      </c>
      <c r="K1030" s="27" t="s">
        <v>73</v>
      </c>
      <c r="L1030" s="31" t="s">
        <v>1994</v>
      </c>
      <c r="M1030" s="32">
        <v>0.46</v>
      </c>
      <c r="N1030" s="27" t="s">
        <v>33</v>
      </c>
      <c r="O1030" s="27" t="s">
        <v>34</v>
      </c>
      <c r="P1030" s="27" t="s">
        <v>123</v>
      </c>
      <c r="Q1030" s="27" t="s">
        <v>1995</v>
      </c>
      <c r="R1030" s="33">
        <v>32935</v>
      </c>
      <c r="S1030" s="34">
        <v>42098</v>
      </c>
      <c r="T1030" s="34">
        <v>42098</v>
      </c>
      <c r="U1030" s="29">
        <v>-100.17</v>
      </c>
      <c r="V1030" s="26">
        <v>11</v>
      </c>
      <c r="W1030" s="29">
        <v>709.7</v>
      </c>
      <c r="X1030" s="26">
        <v>89300</v>
      </c>
      <c r="Y1030" s="35">
        <v>10.34</v>
      </c>
      <c r="Z1030" s="1" t="s">
        <v>3011</v>
      </c>
      <c r="AA1030" s="36">
        <v>14.066799999999999</v>
      </c>
      <c r="AB1030" s="54">
        <v>383.23800000000006</v>
      </c>
      <c r="AC1030" s="54">
        <v>29.678363636363638</v>
      </c>
      <c r="AD1030" s="36">
        <v>781.32320000000004</v>
      </c>
    </row>
    <row r="1031" spans="1:30" s="37" customFormat="1" ht="15.75" customHeight="1" x14ac:dyDescent="0.2">
      <c r="A1031" s="26">
        <v>1734</v>
      </c>
      <c r="B1031" s="27" t="s">
        <v>2002</v>
      </c>
      <c r="C1031" s="27" t="s">
        <v>3094</v>
      </c>
      <c r="D1031" s="28">
        <v>0.02</v>
      </c>
      <c r="E1031" s="29">
        <v>60.98</v>
      </c>
      <c r="F1031" s="29">
        <v>49</v>
      </c>
      <c r="G1031" s="30" t="s">
        <v>39</v>
      </c>
      <c r="H1031" s="27" t="s">
        <v>3095</v>
      </c>
      <c r="I1031" s="27" t="s">
        <v>49</v>
      </c>
      <c r="J1031" s="27" t="s">
        <v>95</v>
      </c>
      <c r="K1031" s="27" t="s">
        <v>65</v>
      </c>
      <c r="L1031" s="31" t="s">
        <v>1530</v>
      </c>
      <c r="M1031" s="32">
        <v>0.59</v>
      </c>
      <c r="N1031" s="27" t="s">
        <v>33</v>
      </c>
      <c r="O1031" s="27" t="s">
        <v>111</v>
      </c>
      <c r="P1031" s="27" t="s">
        <v>112</v>
      </c>
      <c r="Q1031" s="27" t="s">
        <v>2003</v>
      </c>
      <c r="R1031" s="33">
        <v>10528</v>
      </c>
      <c r="S1031" s="34">
        <v>42098</v>
      </c>
      <c r="T1031" s="34">
        <v>42100</v>
      </c>
      <c r="U1031" s="29">
        <v>-596.26800000000003</v>
      </c>
      <c r="V1031" s="26">
        <v>9</v>
      </c>
      <c r="W1031" s="29">
        <v>561.05999999999995</v>
      </c>
      <c r="X1031" s="26">
        <v>88443</v>
      </c>
      <c r="Y1031" s="35">
        <v>35.99</v>
      </c>
      <c r="Z1031" s="1" t="s">
        <v>3014</v>
      </c>
      <c r="AA1031" s="36">
        <v>10.9764</v>
      </c>
      <c r="AB1031" s="54">
        <v>230.03459999999998</v>
      </c>
      <c r="AC1031" s="54">
        <v>36.780599999999993</v>
      </c>
      <c r="AD1031" s="36">
        <v>1097.3516</v>
      </c>
    </row>
    <row r="1032" spans="1:30" s="37" customFormat="1" ht="15.75" customHeight="1" x14ac:dyDescent="0.2">
      <c r="A1032" s="26">
        <v>911</v>
      </c>
      <c r="B1032" s="27" t="s">
        <v>902</v>
      </c>
      <c r="C1032" s="27" t="s">
        <v>38</v>
      </c>
      <c r="D1032" s="28">
        <v>0.01</v>
      </c>
      <c r="E1032" s="29">
        <v>59.76</v>
      </c>
      <c r="F1032" s="29">
        <v>9.7100000000000009</v>
      </c>
      <c r="G1032" s="30" t="s">
        <v>39</v>
      </c>
      <c r="H1032" s="27" t="s">
        <v>94</v>
      </c>
      <c r="I1032" s="27" t="s">
        <v>49</v>
      </c>
      <c r="J1032" s="27" t="s">
        <v>78</v>
      </c>
      <c r="K1032" s="27" t="s">
        <v>73</v>
      </c>
      <c r="L1032" s="31" t="s">
        <v>1973</v>
      </c>
      <c r="M1032" s="32">
        <v>0.56999999999999995</v>
      </c>
      <c r="N1032" s="27" t="s">
        <v>33</v>
      </c>
      <c r="O1032" s="27" t="s">
        <v>111</v>
      </c>
      <c r="P1032" s="27" t="s">
        <v>903</v>
      </c>
      <c r="Q1032" s="27" t="s">
        <v>904</v>
      </c>
      <c r="R1032" s="33">
        <v>26003</v>
      </c>
      <c r="S1032" s="34">
        <v>42098</v>
      </c>
      <c r="T1032" s="34">
        <v>42100</v>
      </c>
      <c r="U1032" s="29">
        <v>354.3288</v>
      </c>
      <c r="V1032" s="26">
        <v>8</v>
      </c>
      <c r="W1032" s="29">
        <v>513.52</v>
      </c>
      <c r="X1032" s="26">
        <v>90186</v>
      </c>
      <c r="Y1032" s="35">
        <v>35.99</v>
      </c>
      <c r="Z1032" s="1" t="s">
        <v>3014</v>
      </c>
      <c r="AA1032" s="36">
        <v>4.7808000000000002</v>
      </c>
      <c r="AB1032" s="54">
        <v>220.81360000000001</v>
      </c>
      <c r="AC1032" s="54">
        <v>36.588299999999997</v>
      </c>
      <c r="AD1032" s="36">
        <v>144.7004</v>
      </c>
    </row>
    <row r="1033" spans="1:30" s="37" customFormat="1" ht="15.75" customHeight="1" x14ac:dyDescent="0.2">
      <c r="A1033" s="26">
        <v>2551</v>
      </c>
      <c r="B1033" s="27" t="s">
        <v>1986</v>
      </c>
      <c r="C1033" s="27" t="s">
        <v>48</v>
      </c>
      <c r="D1033" s="28">
        <v>0</v>
      </c>
      <c r="E1033" s="29">
        <v>35.99</v>
      </c>
      <c r="F1033" s="29">
        <v>0.99</v>
      </c>
      <c r="G1033" s="30" t="s">
        <v>39</v>
      </c>
      <c r="H1033" s="27" t="s">
        <v>3095</v>
      </c>
      <c r="I1033" s="27" t="s">
        <v>41</v>
      </c>
      <c r="J1033" s="27" t="s">
        <v>135</v>
      </c>
      <c r="K1033" s="27" t="s">
        <v>43</v>
      </c>
      <c r="L1033" s="31" t="s">
        <v>1985</v>
      </c>
      <c r="M1033" s="32">
        <v>0.35</v>
      </c>
      <c r="N1033" s="27" t="s">
        <v>33</v>
      </c>
      <c r="O1033" s="27" t="s">
        <v>111</v>
      </c>
      <c r="P1033" s="27" t="s">
        <v>320</v>
      </c>
      <c r="Q1033" s="27" t="s">
        <v>1987</v>
      </c>
      <c r="R1033" s="33">
        <v>17403</v>
      </c>
      <c r="S1033" s="34">
        <v>42098</v>
      </c>
      <c r="T1033" s="34">
        <v>42105</v>
      </c>
      <c r="U1033" s="29">
        <v>265.96050000000002</v>
      </c>
      <c r="V1033" s="26">
        <v>12</v>
      </c>
      <c r="W1033" s="29">
        <v>385.45</v>
      </c>
      <c r="X1033" s="26">
        <v>88656</v>
      </c>
      <c r="Y1033" s="35">
        <v>4.9000000000000004</v>
      </c>
      <c r="Z1033" s="1" t="s">
        <v>3014</v>
      </c>
      <c r="AA1033" s="36">
        <v>0</v>
      </c>
      <c r="AB1033" s="54">
        <v>250.54249999999999</v>
      </c>
      <c r="AC1033" s="54">
        <v>11.242291666666665</v>
      </c>
      <c r="AD1033" s="36">
        <v>118.49949999999995</v>
      </c>
    </row>
    <row r="1034" spans="1:30" s="37" customFormat="1" ht="15.75" customHeight="1" x14ac:dyDescent="0.2">
      <c r="A1034" s="26">
        <v>117</v>
      </c>
      <c r="B1034" s="27" t="s">
        <v>141</v>
      </c>
      <c r="C1034" s="27" t="s">
        <v>116</v>
      </c>
      <c r="D1034" s="28">
        <v>0.01</v>
      </c>
      <c r="E1034" s="29">
        <v>4.91</v>
      </c>
      <c r="F1034" s="29">
        <v>0.5</v>
      </c>
      <c r="G1034" s="30" t="s">
        <v>39</v>
      </c>
      <c r="H1034" s="27" t="s">
        <v>71</v>
      </c>
      <c r="I1034" s="27" t="s">
        <v>49</v>
      </c>
      <c r="J1034" s="27" t="s">
        <v>152</v>
      </c>
      <c r="K1034" s="27" t="s">
        <v>73</v>
      </c>
      <c r="L1034" s="31" t="s">
        <v>973</v>
      </c>
      <c r="M1034" s="32">
        <v>0.36</v>
      </c>
      <c r="N1034" s="27" t="s">
        <v>33</v>
      </c>
      <c r="O1034" s="27" t="s">
        <v>60</v>
      </c>
      <c r="P1034" s="27" t="s">
        <v>67</v>
      </c>
      <c r="Q1034" s="27" t="s">
        <v>142</v>
      </c>
      <c r="R1034" s="33">
        <v>98103</v>
      </c>
      <c r="S1034" s="34">
        <v>42098</v>
      </c>
      <c r="T1034" s="34">
        <v>42100</v>
      </c>
      <c r="U1034" s="29">
        <v>112.06</v>
      </c>
      <c r="V1034" s="26">
        <v>47</v>
      </c>
      <c r="W1034" s="29">
        <v>228.46</v>
      </c>
      <c r="X1034" s="26">
        <v>13959</v>
      </c>
      <c r="Y1034" s="35">
        <v>3.91</v>
      </c>
      <c r="Z1034" s="1" t="s">
        <v>3013</v>
      </c>
      <c r="AA1034" s="36">
        <v>2.3077000000000001</v>
      </c>
      <c r="AB1034" s="54">
        <v>146.21440000000001</v>
      </c>
      <c r="AC1034" s="54">
        <v>1.7499063829787234</v>
      </c>
      <c r="AD1034" s="36">
        <v>113.59230000000001</v>
      </c>
    </row>
    <row r="1035" spans="1:30" s="37" customFormat="1" ht="15.75" customHeight="1" x14ac:dyDescent="0.2">
      <c r="A1035" s="26">
        <v>1918</v>
      </c>
      <c r="B1035" s="27" t="s">
        <v>1981</v>
      </c>
      <c r="C1035" s="27" t="s">
        <v>48</v>
      </c>
      <c r="D1035" s="28">
        <v>0.1</v>
      </c>
      <c r="E1035" s="29">
        <v>10.44</v>
      </c>
      <c r="F1035" s="29">
        <v>5.75</v>
      </c>
      <c r="G1035" s="30" t="s">
        <v>87</v>
      </c>
      <c r="H1035" s="27" t="s">
        <v>71</v>
      </c>
      <c r="I1035" s="27" t="s">
        <v>49</v>
      </c>
      <c r="J1035" s="27" t="s">
        <v>72</v>
      </c>
      <c r="K1035" s="27" t="s">
        <v>73</v>
      </c>
      <c r="L1035" s="31" t="s">
        <v>1982</v>
      </c>
      <c r="M1035" s="32">
        <v>0.39</v>
      </c>
      <c r="N1035" s="27" t="s">
        <v>33</v>
      </c>
      <c r="O1035" s="27" t="s">
        <v>34</v>
      </c>
      <c r="P1035" s="27" t="s">
        <v>45</v>
      </c>
      <c r="Q1035" s="27" t="s">
        <v>1983</v>
      </c>
      <c r="R1035" s="33">
        <v>72450</v>
      </c>
      <c r="S1035" s="34">
        <v>42098</v>
      </c>
      <c r="T1035" s="34">
        <v>42105</v>
      </c>
      <c r="U1035" s="29">
        <v>125.724</v>
      </c>
      <c r="V1035" s="26">
        <v>17</v>
      </c>
      <c r="W1035" s="29">
        <v>168.04</v>
      </c>
      <c r="X1035" s="26">
        <v>85898</v>
      </c>
      <c r="Y1035" s="35">
        <v>4.9000000000000004</v>
      </c>
      <c r="Z1035" s="1" t="s">
        <v>3011</v>
      </c>
      <c r="AA1035" s="36">
        <v>17.748000000000001</v>
      </c>
      <c r="AB1035" s="54">
        <v>102.50439999999999</v>
      </c>
      <c r="AC1035" s="54">
        <v>3.8550352941176471</v>
      </c>
      <c r="AD1035" s="36">
        <v>18.818000000000012</v>
      </c>
    </row>
    <row r="1036" spans="1:30" s="37" customFormat="1" ht="15.75" customHeight="1" x14ac:dyDescent="0.2">
      <c r="A1036" s="26">
        <v>1590</v>
      </c>
      <c r="B1036" s="27" t="s">
        <v>1988</v>
      </c>
      <c r="C1036" s="27" t="s">
        <v>116</v>
      </c>
      <c r="D1036" s="28">
        <v>0.03</v>
      </c>
      <c r="E1036" s="29">
        <v>19.04</v>
      </c>
      <c r="F1036" s="29">
        <v>6.38</v>
      </c>
      <c r="G1036" s="30" t="s">
        <v>87</v>
      </c>
      <c r="H1036" s="27" t="s">
        <v>94</v>
      </c>
      <c r="I1036" s="27" t="s">
        <v>29</v>
      </c>
      <c r="J1036" s="27" t="s">
        <v>126</v>
      </c>
      <c r="K1036" s="27" t="s">
        <v>73</v>
      </c>
      <c r="L1036" s="31" t="s">
        <v>1989</v>
      </c>
      <c r="M1036" s="32">
        <v>0.56000000000000005</v>
      </c>
      <c r="N1036" s="27" t="s">
        <v>33</v>
      </c>
      <c r="O1036" s="27" t="s">
        <v>111</v>
      </c>
      <c r="P1036" s="27" t="s">
        <v>317</v>
      </c>
      <c r="Q1036" s="27" t="s">
        <v>1990</v>
      </c>
      <c r="R1036" s="33">
        <v>44094</v>
      </c>
      <c r="S1036" s="34">
        <v>42098</v>
      </c>
      <c r="T1036" s="34">
        <v>42098</v>
      </c>
      <c r="U1036" s="29">
        <v>83.793599999999998</v>
      </c>
      <c r="V1036" s="26">
        <v>7</v>
      </c>
      <c r="W1036" s="29">
        <v>144.03</v>
      </c>
      <c r="X1036" s="26">
        <v>86668</v>
      </c>
      <c r="Y1036" s="35">
        <v>3.91</v>
      </c>
      <c r="Z1036" s="1" t="s">
        <v>3014</v>
      </c>
      <c r="AA1036" s="36">
        <v>3.9983999999999993</v>
      </c>
      <c r="AB1036" s="54">
        <v>63.37319999999999</v>
      </c>
      <c r="AC1036" s="54">
        <v>11.522400000000003</v>
      </c>
      <c r="AD1036" s="36">
        <v>49.858000000000004</v>
      </c>
    </row>
    <row r="1037" spans="1:30" s="37" customFormat="1" ht="15.75" customHeight="1" x14ac:dyDescent="0.2">
      <c r="A1037" s="26">
        <v>3400</v>
      </c>
      <c r="B1037" s="27" t="s">
        <v>1998</v>
      </c>
      <c r="C1037" s="27" t="s">
        <v>116</v>
      </c>
      <c r="D1037" s="28">
        <v>0.1</v>
      </c>
      <c r="E1037" s="29">
        <v>9.3800000000000008</v>
      </c>
      <c r="F1037" s="29">
        <v>4.93</v>
      </c>
      <c r="G1037" s="30" t="s">
        <v>87</v>
      </c>
      <c r="H1037" s="27" t="s">
        <v>3095</v>
      </c>
      <c r="I1037" s="27" t="s">
        <v>29</v>
      </c>
      <c r="J1037" s="27" t="s">
        <v>126</v>
      </c>
      <c r="K1037" s="27" t="s">
        <v>73</v>
      </c>
      <c r="L1037" s="31" t="s">
        <v>1999</v>
      </c>
      <c r="M1037" s="32">
        <v>0.56999999999999995</v>
      </c>
      <c r="N1037" s="27" t="s">
        <v>33</v>
      </c>
      <c r="O1037" s="27" t="s">
        <v>111</v>
      </c>
      <c r="P1037" s="27" t="s">
        <v>903</v>
      </c>
      <c r="Q1037" s="27" t="s">
        <v>2000</v>
      </c>
      <c r="R1037" s="33">
        <v>26554</v>
      </c>
      <c r="S1037" s="34">
        <v>42098</v>
      </c>
      <c r="T1037" s="34">
        <v>42098</v>
      </c>
      <c r="U1037" s="29">
        <v>-24.7104</v>
      </c>
      <c r="V1037" s="26">
        <v>15</v>
      </c>
      <c r="W1037" s="29">
        <v>135.78</v>
      </c>
      <c r="X1037" s="26">
        <v>87537</v>
      </c>
      <c r="Y1037" s="35">
        <v>19.009999999999998</v>
      </c>
      <c r="Z1037" s="1" t="s">
        <v>3014</v>
      </c>
      <c r="AA1037" s="36">
        <v>14.070000000000002</v>
      </c>
      <c r="AB1037" s="54">
        <v>58.385400000000004</v>
      </c>
      <c r="AC1037" s="54">
        <v>5.1596399999999996</v>
      </c>
      <c r="AD1037" s="36">
        <v>141.49039999999999</v>
      </c>
    </row>
    <row r="1038" spans="1:30" s="37" customFormat="1" ht="15.75" customHeight="1" x14ac:dyDescent="0.2">
      <c r="A1038" s="26">
        <v>321</v>
      </c>
      <c r="B1038" s="27" t="s">
        <v>1977</v>
      </c>
      <c r="C1038" s="27" t="s">
        <v>48</v>
      </c>
      <c r="D1038" s="28">
        <v>0.04</v>
      </c>
      <c r="E1038" s="29">
        <v>8.33</v>
      </c>
      <c r="F1038" s="29">
        <v>1.99</v>
      </c>
      <c r="G1038" s="30" t="s">
        <v>39</v>
      </c>
      <c r="H1038" s="27" t="s">
        <v>40</v>
      </c>
      <c r="I1038" s="27" t="s">
        <v>41</v>
      </c>
      <c r="J1038" s="27" t="s">
        <v>42</v>
      </c>
      <c r="K1038" s="27" t="s">
        <v>43</v>
      </c>
      <c r="L1038" s="31" t="s">
        <v>1174</v>
      </c>
      <c r="M1038" s="32">
        <v>0.52</v>
      </c>
      <c r="N1038" s="27" t="s">
        <v>33</v>
      </c>
      <c r="O1038" s="27" t="s">
        <v>111</v>
      </c>
      <c r="P1038" s="27" t="s">
        <v>418</v>
      </c>
      <c r="Q1038" s="27" t="s">
        <v>1978</v>
      </c>
      <c r="R1038" s="33">
        <v>20854</v>
      </c>
      <c r="S1038" s="34">
        <v>42098</v>
      </c>
      <c r="T1038" s="34">
        <v>42103</v>
      </c>
      <c r="U1038" s="29">
        <v>9.9268000000000001</v>
      </c>
      <c r="V1038" s="26">
        <v>11</v>
      </c>
      <c r="W1038" s="29">
        <v>89.76</v>
      </c>
      <c r="X1038" s="26">
        <v>91057</v>
      </c>
      <c r="Y1038" s="35">
        <v>5.5100000000000007</v>
      </c>
      <c r="Z1038" s="1" t="s">
        <v>3014</v>
      </c>
      <c r="AA1038" s="36">
        <v>3.6652</v>
      </c>
      <c r="AB1038" s="54">
        <v>43.084800000000001</v>
      </c>
      <c r="AC1038" s="54">
        <v>4.2431999999999999</v>
      </c>
      <c r="AD1038" s="36">
        <v>74.177999999999997</v>
      </c>
    </row>
    <row r="1039" spans="1:30" s="37" customFormat="1" ht="15.75" customHeight="1" x14ac:dyDescent="0.2">
      <c r="A1039" s="26">
        <v>117</v>
      </c>
      <c r="B1039" s="27" t="s">
        <v>141</v>
      </c>
      <c r="C1039" s="27" t="s">
        <v>116</v>
      </c>
      <c r="D1039" s="28">
        <v>0.09</v>
      </c>
      <c r="E1039" s="29">
        <v>4</v>
      </c>
      <c r="F1039" s="29">
        <v>1.3</v>
      </c>
      <c r="G1039" s="30" t="s">
        <v>87</v>
      </c>
      <c r="H1039" s="27" t="s">
        <v>71</v>
      </c>
      <c r="I1039" s="27" t="s">
        <v>49</v>
      </c>
      <c r="J1039" s="27" t="s">
        <v>88</v>
      </c>
      <c r="K1039" s="27" t="s">
        <v>51</v>
      </c>
      <c r="L1039" s="31" t="s">
        <v>371</v>
      </c>
      <c r="M1039" s="32">
        <v>0.37</v>
      </c>
      <c r="N1039" s="27" t="s">
        <v>33</v>
      </c>
      <c r="O1039" s="27" t="s">
        <v>60</v>
      </c>
      <c r="P1039" s="27" t="s">
        <v>67</v>
      </c>
      <c r="Q1039" s="27" t="s">
        <v>142</v>
      </c>
      <c r="R1039" s="33">
        <v>98103</v>
      </c>
      <c r="S1039" s="34">
        <v>42098</v>
      </c>
      <c r="T1039" s="34">
        <v>42100</v>
      </c>
      <c r="U1039" s="29">
        <v>16.79</v>
      </c>
      <c r="V1039" s="26">
        <v>19</v>
      </c>
      <c r="W1039" s="29">
        <v>77.61</v>
      </c>
      <c r="X1039" s="26">
        <v>13959</v>
      </c>
      <c r="Y1039" s="35">
        <v>63.919999999999995</v>
      </c>
      <c r="Z1039" s="1" t="s">
        <v>3013</v>
      </c>
      <c r="AA1039" s="36">
        <v>6.84</v>
      </c>
      <c r="AB1039" s="54">
        <v>48.894300000000001</v>
      </c>
      <c r="AC1039" s="54">
        <v>1.5113526315789474</v>
      </c>
      <c r="AD1039" s="36">
        <v>52.68</v>
      </c>
    </row>
    <row r="1040" spans="1:30" s="37" customFormat="1" ht="15.75" customHeight="1" x14ac:dyDescent="0.2">
      <c r="A1040" s="26">
        <v>2014</v>
      </c>
      <c r="B1040" s="27" t="s">
        <v>1788</v>
      </c>
      <c r="C1040" s="27" t="s">
        <v>26</v>
      </c>
      <c r="D1040" s="28">
        <v>0.06</v>
      </c>
      <c r="E1040" s="29">
        <v>6.48</v>
      </c>
      <c r="F1040" s="29">
        <v>7.49</v>
      </c>
      <c r="G1040" s="30" t="s">
        <v>39</v>
      </c>
      <c r="H1040" s="27" t="s">
        <v>71</v>
      </c>
      <c r="I1040" s="27" t="s">
        <v>49</v>
      </c>
      <c r="J1040" s="27" t="s">
        <v>88</v>
      </c>
      <c r="K1040" s="27" t="s">
        <v>73</v>
      </c>
      <c r="L1040" s="31" t="s">
        <v>1921</v>
      </c>
      <c r="M1040" s="32">
        <v>0.37</v>
      </c>
      <c r="N1040" s="27" t="s">
        <v>33</v>
      </c>
      <c r="O1040" s="27" t="s">
        <v>53</v>
      </c>
      <c r="P1040" s="27" t="s">
        <v>213</v>
      </c>
      <c r="Q1040" s="27" t="s">
        <v>1789</v>
      </c>
      <c r="R1040" s="33">
        <v>51503</v>
      </c>
      <c r="S1040" s="34">
        <v>42098</v>
      </c>
      <c r="T1040" s="34">
        <v>42098</v>
      </c>
      <c r="U1040" s="29">
        <v>-191.49</v>
      </c>
      <c r="V1040" s="26">
        <v>12</v>
      </c>
      <c r="W1040" s="29">
        <v>74.930000000000007</v>
      </c>
      <c r="X1040" s="26">
        <v>88368</v>
      </c>
      <c r="Y1040" s="35">
        <v>5.01</v>
      </c>
      <c r="Z1040" s="1" t="s">
        <v>3012</v>
      </c>
      <c r="AA1040" s="36">
        <v>4.6656000000000004</v>
      </c>
      <c r="AB1040" s="54">
        <v>47.205900000000007</v>
      </c>
      <c r="AC1040" s="54">
        <v>2.310341666666667</v>
      </c>
      <c r="AD1040" s="36">
        <v>254.26439999999999</v>
      </c>
    </row>
    <row r="1041" spans="1:30" s="37" customFormat="1" ht="15.75" customHeight="1" x14ac:dyDescent="0.2">
      <c r="A1041" s="26">
        <v>114</v>
      </c>
      <c r="B1041" s="27" t="s">
        <v>137</v>
      </c>
      <c r="C1041" s="27" t="s">
        <v>116</v>
      </c>
      <c r="D1041" s="28">
        <v>0.01</v>
      </c>
      <c r="E1041" s="29">
        <v>4.91</v>
      </c>
      <c r="F1041" s="29">
        <v>0.5</v>
      </c>
      <c r="G1041" s="30" t="s">
        <v>39</v>
      </c>
      <c r="H1041" s="27" t="s">
        <v>71</v>
      </c>
      <c r="I1041" s="27" t="s">
        <v>49</v>
      </c>
      <c r="J1041" s="27" t="s">
        <v>152</v>
      </c>
      <c r="K1041" s="27" t="s">
        <v>73</v>
      </c>
      <c r="L1041" s="31" t="s">
        <v>973</v>
      </c>
      <c r="M1041" s="32">
        <v>0.36</v>
      </c>
      <c r="N1041" s="27" t="s">
        <v>33</v>
      </c>
      <c r="O1041" s="27" t="s">
        <v>60</v>
      </c>
      <c r="P1041" s="27" t="s">
        <v>139</v>
      </c>
      <c r="Q1041" s="27" t="s">
        <v>140</v>
      </c>
      <c r="R1041" s="33">
        <v>97035</v>
      </c>
      <c r="S1041" s="34">
        <v>42098</v>
      </c>
      <c r="T1041" s="34">
        <v>42100</v>
      </c>
      <c r="U1041" s="29">
        <v>40.247700000000002</v>
      </c>
      <c r="V1041" s="26">
        <v>12</v>
      </c>
      <c r="W1041" s="29">
        <v>58.33</v>
      </c>
      <c r="X1041" s="26">
        <v>89584</v>
      </c>
      <c r="Y1041" s="35">
        <v>9.2800000000000011</v>
      </c>
      <c r="Z1041" s="1" t="s">
        <v>3013</v>
      </c>
      <c r="AA1041" s="36">
        <v>0.58920000000000006</v>
      </c>
      <c r="AB1041" s="54">
        <v>37.331200000000003</v>
      </c>
      <c r="AC1041" s="54">
        <v>1.7498999999999998</v>
      </c>
      <c r="AD1041" s="36">
        <v>16.993099999999998</v>
      </c>
    </row>
    <row r="1042" spans="1:30" s="37" customFormat="1" ht="15.75" customHeight="1" x14ac:dyDescent="0.2">
      <c r="A1042" s="26">
        <v>1593</v>
      </c>
      <c r="B1042" s="27" t="s">
        <v>1991</v>
      </c>
      <c r="C1042" s="27" t="s">
        <v>116</v>
      </c>
      <c r="D1042" s="28">
        <v>0.02</v>
      </c>
      <c r="E1042" s="29">
        <v>5.53</v>
      </c>
      <c r="F1042" s="29">
        <v>6.98</v>
      </c>
      <c r="G1042" s="30" t="s">
        <v>39</v>
      </c>
      <c r="H1042" s="27" t="s">
        <v>94</v>
      </c>
      <c r="I1042" s="27" t="s">
        <v>49</v>
      </c>
      <c r="J1042" s="27" t="s">
        <v>72</v>
      </c>
      <c r="K1042" s="27" t="s">
        <v>73</v>
      </c>
      <c r="L1042" s="31" t="s">
        <v>1992</v>
      </c>
      <c r="M1042" s="32">
        <v>0.39</v>
      </c>
      <c r="N1042" s="27" t="s">
        <v>33</v>
      </c>
      <c r="O1042" s="27" t="s">
        <v>53</v>
      </c>
      <c r="P1042" s="27" t="s">
        <v>207</v>
      </c>
      <c r="Q1042" s="27" t="s">
        <v>550</v>
      </c>
      <c r="R1042" s="33">
        <v>74006</v>
      </c>
      <c r="S1042" s="34">
        <v>42098</v>
      </c>
      <c r="T1042" s="34">
        <v>42100</v>
      </c>
      <c r="U1042" s="29">
        <v>-77.823719999999994</v>
      </c>
      <c r="V1042" s="26">
        <v>8</v>
      </c>
      <c r="W1042" s="29">
        <v>48.81</v>
      </c>
      <c r="X1042" s="26">
        <v>86668</v>
      </c>
      <c r="Y1042" s="35">
        <v>60.959999999999994</v>
      </c>
      <c r="Z1042" s="1" t="s">
        <v>3012</v>
      </c>
      <c r="AA1042" s="36">
        <v>0.88480000000000003</v>
      </c>
      <c r="AB1042" s="54">
        <v>29.774100000000001</v>
      </c>
      <c r="AC1042" s="54">
        <v>2.3794875000000002</v>
      </c>
      <c r="AD1042" s="36">
        <v>118.76891999999999</v>
      </c>
    </row>
    <row r="1043" spans="1:30" s="37" customFormat="1" ht="15.75" customHeight="1" x14ac:dyDescent="0.2">
      <c r="A1043" s="26">
        <v>2442</v>
      </c>
      <c r="B1043" s="27" t="s">
        <v>1996</v>
      </c>
      <c r="C1043" s="27" t="s">
        <v>116</v>
      </c>
      <c r="D1043" s="28">
        <v>0.01</v>
      </c>
      <c r="E1043" s="29">
        <v>5.0199999999999996</v>
      </c>
      <c r="F1043" s="29">
        <v>5.14</v>
      </c>
      <c r="G1043" s="30" t="s">
        <v>39</v>
      </c>
      <c r="H1043" s="27" t="s">
        <v>40</v>
      </c>
      <c r="I1043" s="27" t="s">
        <v>41</v>
      </c>
      <c r="J1043" s="27" t="s">
        <v>42</v>
      </c>
      <c r="K1043" s="27" t="s">
        <v>43</v>
      </c>
      <c r="L1043" s="31" t="s">
        <v>391</v>
      </c>
      <c r="M1043" s="32">
        <v>0.79</v>
      </c>
      <c r="N1043" s="27" t="s">
        <v>33</v>
      </c>
      <c r="O1043" s="27" t="s">
        <v>34</v>
      </c>
      <c r="P1043" s="27" t="s">
        <v>123</v>
      </c>
      <c r="Q1043" s="27" t="s">
        <v>1997</v>
      </c>
      <c r="R1043" s="33">
        <v>32953</v>
      </c>
      <c r="S1043" s="34">
        <v>42098</v>
      </c>
      <c r="T1043" s="34">
        <v>42100</v>
      </c>
      <c r="U1043" s="29">
        <v>-3.948</v>
      </c>
      <c r="V1043" s="26">
        <v>5</v>
      </c>
      <c r="W1043" s="29">
        <v>27.42</v>
      </c>
      <c r="X1043" s="26">
        <v>89300</v>
      </c>
      <c r="Y1043" s="35">
        <v>1270.97</v>
      </c>
      <c r="Z1043" s="1" t="s">
        <v>3011</v>
      </c>
      <c r="AA1043" s="36">
        <v>0.251</v>
      </c>
      <c r="AB1043" s="54">
        <v>5.7581999999999995</v>
      </c>
      <c r="AC1043" s="54">
        <v>4.3323600000000004</v>
      </c>
      <c r="AD1043" s="36">
        <v>25.977000000000004</v>
      </c>
    </row>
    <row r="1044" spans="1:30" s="37" customFormat="1" ht="15.75" customHeight="1" x14ac:dyDescent="0.2">
      <c r="A1044" s="26">
        <v>114</v>
      </c>
      <c r="B1044" s="27" t="s">
        <v>137</v>
      </c>
      <c r="C1044" s="27" t="s">
        <v>116</v>
      </c>
      <c r="D1044" s="28">
        <v>0.09</v>
      </c>
      <c r="E1044" s="29">
        <v>4</v>
      </c>
      <c r="F1044" s="29">
        <v>1.3</v>
      </c>
      <c r="G1044" s="30" t="s">
        <v>87</v>
      </c>
      <c r="H1044" s="27" t="s">
        <v>71</v>
      </c>
      <c r="I1044" s="27" t="s">
        <v>49</v>
      </c>
      <c r="J1044" s="27" t="s">
        <v>88</v>
      </c>
      <c r="K1044" s="27" t="s">
        <v>51</v>
      </c>
      <c r="L1044" s="31" t="s">
        <v>371</v>
      </c>
      <c r="M1044" s="32">
        <v>0.37</v>
      </c>
      <c r="N1044" s="27" t="s">
        <v>33</v>
      </c>
      <c r="O1044" s="27" t="s">
        <v>60</v>
      </c>
      <c r="P1044" s="27" t="s">
        <v>139</v>
      </c>
      <c r="Q1044" s="27" t="s">
        <v>140</v>
      </c>
      <c r="R1044" s="33">
        <v>97035</v>
      </c>
      <c r="S1044" s="34">
        <v>42098</v>
      </c>
      <c r="T1044" s="34">
        <v>42100</v>
      </c>
      <c r="U1044" s="29">
        <v>14.0898</v>
      </c>
      <c r="V1044" s="26">
        <v>5</v>
      </c>
      <c r="W1044" s="29">
        <v>20.420000000000002</v>
      </c>
      <c r="X1044" s="26">
        <v>89584</v>
      </c>
      <c r="Y1044" s="35">
        <v>60.959999999999994</v>
      </c>
      <c r="Z1044" s="1" t="s">
        <v>3013</v>
      </c>
      <c r="AA1044" s="36">
        <v>1.7999999999999998</v>
      </c>
      <c r="AB1044" s="54">
        <v>12.864600000000001</v>
      </c>
      <c r="AC1044" s="54">
        <v>1.5110800000000002</v>
      </c>
      <c r="AD1044" s="36">
        <v>3.2302</v>
      </c>
    </row>
    <row r="1045" spans="1:30" s="37" customFormat="1" ht="15.75" customHeight="1" x14ac:dyDescent="0.2">
      <c r="A1045" s="26">
        <v>2685</v>
      </c>
      <c r="B1045" s="27" t="s">
        <v>1974</v>
      </c>
      <c r="C1045" s="27" t="s">
        <v>38</v>
      </c>
      <c r="D1045" s="28">
        <v>0</v>
      </c>
      <c r="E1045" s="29">
        <v>7.38</v>
      </c>
      <c r="F1045" s="29">
        <v>11.51</v>
      </c>
      <c r="G1045" s="30" t="s">
        <v>39</v>
      </c>
      <c r="H1045" s="27" t="s">
        <v>3095</v>
      </c>
      <c r="I1045" s="27" t="s">
        <v>49</v>
      </c>
      <c r="J1045" s="27" t="s">
        <v>72</v>
      </c>
      <c r="K1045" s="27" t="s">
        <v>73</v>
      </c>
      <c r="L1045" s="31" t="s">
        <v>1975</v>
      </c>
      <c r="M1045" s="32">
        <v>0.36</v>
      </c>
      <c r="N1045" s="27" t="s">
        <v>33</v>
      </c>
      <c r="O1045" s="27" t="s">
        <v>111</v>
      </c>
      <c r="P1045" s="27" t="s">
        <v>112</v>
      </c>
      <c r="Q1045" s="27" t="s">
        <v>1976</v>
      </c>
      <c r="R1045" s="33">
        <v>11803</v>
      </c>
      <c r="S1045" s="34">
        <v>42098</v>
      </c>
      <c r="T1045" s="34">
        <v>42099</v>
      </c>
      <c r="U1045" s="29">
        <v>-66.171000000000006</v>
      </c>
      <c r="V1045" s="26">
        <v>2</v>
      </c>
      <c r="W1045" s="29">
        <v>17.64</v>
      </c>
      <c r="X1045" s="26">
        <v>89147</v>
      </c>
      <c r="Y1045" s="35">
        <v>1270.97</v>
      </c>
      <c r="Z1045" s="1" t="s">
        <v>3014</v>
      </c>
      <c r="AA1045" s="36">
        <v>0</v>
      </c>
      <c r="AB1045" s="54">
        <v>11.2896</v>
      </c>
      <c r="AC1045" s="54">
        <v>3.1751999999999998</v>
      </c>
      <c r="AD1045" s="36">
        <v>72.301000000000016</v>
      </c>
    </row>
    <row r="1046" spans="1:30" s="37" customFormat="1" ht="15.75" customHeight="1" x14ac:dyDescent="0.2">
      <c r="A1046" s="26">
        <v>975</v>
      </c>
      <c r="B1046" s="27" t="s">
        <v>1979</v>
      </c>
      <c r="C1046" s="27" t="s">
        <v>48</v>
      </c>
      <c r="D1046" s="28">
        <v>0.1</v>
      </c>
      <c r="E1046" s="29">
        <v>2.2200000000000002</v>
      </c>
      <c r="F1046" s="29">
        <v>5</v>
      </c>
      <c r="G1046" s="30" t="s">
        <v>39</v>
      </c>
      <c r="H1046" s="27" t="s">
        <v>94</v>
      </c>
      <c r="I1046" s="27" t="s">
        <v>49</v>
      </c>
      <c r="J1046" s="27" t="s">
        <v>95</v>
      </c>
      <c r="K1046" s="27" t="s">
        <v>73</v>
      </c>
      <c r="L1046" s="31" t="s">
        <v>1980</v>
      </c>
      <c r="M1046" s="32">
        <v>0.55000000000000004</v>
      </c>
      <c r="N1046" s="27" t="s">
        <v>33</v>
      </c>
      <c r="O1046" s="27" t="s">
        <v>111</v>
      </c>
      <c r="P1046" s="27" t="s">
        <v>403</v>
      </c>
      <c r="Q1046" s="27" t="s">
        <v>788</v>
      </c>
      <c r="R1046" s="33">
        <v>2108</v>
      </c>
      <c r="S1046" s="34">
        <v>42098</v>
      </c>
      <c r="T1046" s="34">
        <v>42103</v>
      </c>
      <c r="U1046" s="29">
        <v>-21.319199999999999</v>
      </c>
      <c r="V1046" s="26">
        <v>3</v>
      </c>
      <c r="W1046" s="29">
        <v>8.8000000000000007</v>
      </c>
      <c r="X1046" s="26">
        <v>87260</v>
      </c>
      <c r="Y1046" s="35">
        <v>205.94</v>
      </c>
      <c r="Z1046" s="1" t="s">
        <v>3014</v>
      </c>
      <c r="AA1046" s="36">
        <v>0.66600000000000015</v>
      </c>
      <c r="AB1046" s="54">
        <v>3.96</v>
      </c>
      <c r="AC1046" s="54">
        <v>1.6133333333333335</v>
      </c>
      <c r="AD1046" s="36">
        <v>24.453199999999999</v>
      </c>
    </row>
    <row r="1047" spans="1:30" s="37" customFormat="1" ht="15.75" customHeight="1" x14ac:dyDescent="0.2">
      <c r="A1047" s="26">
        <v>2603</v>
      </c>
      <c r="B1047" s="27" t="s">
        <v>2004</v>
      </c>
      <c r="C1047" s="27" t="s">
        <v>26</v>
      </c>
      <c r="D1047" s="28">
        <v>7.0000000000000007E-2</v>
      </c>
      <c r="E1047" s="29">
        <v>200.99</v>
      </c>
      <c r="F1047" s="29">
        <v>4.2</v>
      </c>
      <c r="G1047" s="30" t="s">
        <v>39</v>
      </c>
      <c r="H1047" s="27" t="s">
        <v>94</v>
      </c>
      <c r="I1047" s="27" t="s">
        <v>41</v>
      </c>
      <c r="J1047" s="27" t="s">
        <v>135</v>
      </c>
      <c r="K1047" s="27" t="s">
        <v>73</v>
      </c>
      <c r="L1047" s="31" t="s">
        <v>794</v>
      </c>
      <c r="M1047" s="32">
        <v>0.59</v>
      </c>
      <c r="N1047" s="27" t="s">
        <v>33</v>
      </c>
      <c r="O1047" s="27" t="s">
        <v>111</v>
      </c>
      <c r="P1047" s="27" t="s">
        <v>397</v>
      </c>
      <c r="Q1047" s="27" t="s">
        <v>2005</v>
      </c>
      <c r="R1047" s="33">
        <v>7601</v>
      </c>
      <c r="S1047" s="34">
        <v>42099</v>
      </c>
      <c r="T1047" s="34">
        <v>42100</v>
      </c>
      <c r="U1047" s="29">
        <v>2225.0761200000002</v>
      </c>
      <c r="V1047" s="26">
        <v>22</v>
      </c>
      <c r="W1047" s="29">
        <v>3705.14</v>
      </c>
      <c r="X1047" s="26">
        <v>87383</v>
      </c>
      <c r="Y1047" s="35">
        <v>200.92000000000002</v>
      </c>
      <c r="Z1047" s="1" t="s">
        <v>3014</v>
      </c>
      <c r="AA1047" s="36">
        <v>309.52460000000002</v>
      </c>
      <c r="AB1047" s="54">
        <v>1519.1074000000001</v>
      </c>
      <c r="AC1047" s="54">
        <v>99.365118181818175</v>
      </c>
      <c r="AD1047" s="36">
        <v>1166.3392799999997</v>
      </c>
    </row>
    <row r="1048" spans="1:30" s="37" customFormat="1" ht="15.75" customHeight="1" x14ac:dyDescent="0.2">
      <c r="A1048" s="26">
        <v>635</v>
      </c>
      <c r="B1048" s="27" t="s">
        <v>2008</v>
      </c>
      <c r="C1048" s="27" t="s">
        <v>38</v>
      </c>
      <c r="D1048" s="28">
        <v>0.03</v>
      </c>
      <c r="E1048" s="29">
        <v>370.98</v>
      </c>
      <c r="F1048" s="29">
        <v>99</v>
      </c>
      <c r="G1048" s="30" t="s">
        <v>27</v>
      </c>
      <c r="H1048" s="27" t="s">
        <v>94</v>
      </c>
      <c r="I1048" s="27" t="s">
        <v>49</v>
      </c>
      <c r="J1048" s="27" t="s">
        <v>78</v>
      </c>
      <c r="K1048" s="27" t="s">
        <v>58</v>
      </c>
      <c r="L1048" s="31" t="s">
        <v>2010</v>
      </c>
      <c r="M1048" s="32">
        <v>0.65</v>
      </c>
      <c r="N1048" s="27" t="s">
        <v>33</v>
      </c>
      <c r="O1048" s="27" t="s">
        <v>53</v>
      </c>
      <c r="P1048" s="27" t="s">
        <v>84</v>
      </c>
      <c r="Q1048" s="27" t="s">
        <v>2009</v>
      </c>
      <c r="R1048" s="33">
        <v>55106</v>
      </c>
      <c r="S1048" s="34">
        <v>42099</v>
      </c>
      <c r="T1048" s="34">
        <v>42100</v>
      </c>
      <c r="U1048" s="29">
        <v>-124.2864</v>
      </c>
      <c r="V1048" s="26">
        <v>6</v>
      </c>
      <c r="W1048" s="29">
        <v>2309.4899999999998</v>
      </c>
      <c r="X1048" s="26">
        <v>89284</v>
      </c>
      <c r="Y1048" s="35">
        <v>297.47000000000003</v>
      </c>
      <c r="Z1048" s="1" t="s">
        <v>3012</v>
      </c>
      <c r="AA1048" s="36">
        <v>66.776399999999995</v>
      </c>
      <c r="AB1048" s="54">
        <v>808.3214999999999</v>
      </c>
      <c r="AC1048" s="54">
        <v>250.19475</v>
      </c>
      <c r="AD1048" s="36">
        <v>2268</v>
      </c>
    </row>
    <row r="1049" spans="1:30" s="37" customFormat="1" ht="15.75" customHeight="1" x14ac:dyDescent="0.2">
      <c r="A1049" s="26">
        <v>1891</v>
      </c>
      <c r="B1049" s="27" t="s">
        <v>2017</v>
      </c>
      <c r="C1049" s="27" t="s">
        <v>3094</v>
      </c>
      <c r="D1049" s="28">
        <v>0.03</v>
      </c>
      <c r="E1049" s="29">
        <v>320.64</v>
      </c>
      <c r="F1049" s="29">
        <v>29.2</v>
      </c>
      <c r="G1049" s="30" t="s">
        <v>27</v>
      </c>
      <c r="H1049" s="27" t="s">
        <v>71</v>
      </c>
      <c r="I1049" s="27" t="s">
        <v>29</v>
      </c>
      <c r="J1049" s="27" t="s">
        <v>30</v>
      </c>
      <c r="K1049" s="27" t="s">
        <v>31</v>
      </c>
      <c r="L1049" s="31" t="s">
        <v>2018</v>
      </c>
      <c r="M1049" s="32">
        <v>0.66</v>
      </c>
      <c r="N1049" s="27" t="s">
        <v>33</v>
      </c>
      <c r="O1049" s="27" t="s">
        <v>111</v>
      </c>
      <c r="P1049" s="27" t="s">
        <v>317</v>
      </c>
      <c r="Q1049" s="27" t="s">
        <v>2019</v>
      </c>
      <c r="R1049" s="33">
        <v>45801</v>
      </c>
      <c r="S1049" s="34">
        <v>42099</v>
      </c>
      <c r="T1049" s="34">
        <v>42101</v>
      </c>
      <c r="U1049" s="29">
        <v>429.75435599999997</v>
      </c>
      <c r="V1049" s="26">
        <v>7</v>
      </c>
      <c r="W1049" s="29">
        <v>2233.46</v>
      </c>
      <c r="X1049" s="26">
        <v>90630</v>
      </c>
      <c r="Y1049" s="35">
        <v>2.0700000000000003</v>
      </c>
      <c r="Z1049" s="1" t="s">
        <v>3014</v>
      </c>
      <c r="AA1049" s="36">
        <v>67.334399999999988</v>
      </c>
      <c r="AB1049" s="54">
        <v>759.37639999999999</v>
      </c>
      <c r="AC1049" s="54">
        <v>210.58337142857144</v>
      </c>
      <c r="AD1049" s="36">
        <v>1707.1712440000001</v>
      </c>
    </row>
    <row r="1050" spans="1:30" s="37" customFormat="1" ht="15.75" customHeight="1" x14ac:dyDescent="0.2">
      <c r="A1050" s="26">
        <v>2604</v>
      </c>
      <c r="B1050" s="27" t="s">
        <v>2006</v>
      </c>
      <c r="C1050" s="27" t="s">
        <v>26</v>
      </c>
      <c r="D1050" s="28">
        <v>0.01</v>
      </c>
      <c r="E1050" s="29">
        <v>297.48</v>
      </c>
      <c r="F1050" s="29">
        <v>18.059999999999999</v>
      </c>
      <c r="G1050" s="30" t="s">
        <v>27</v>
      </c>
      <c r="H1050" s="27" t="s">
        <v>94</v>
      </c>
      <c r="I1050" s="27" t="s">
        <v>41</v>
      </c>
      <c r="J1050" s="27" t="s">
        <v>57</v>
      </c>
      <c r="K1050" s="27" t="s">
        <v>58</v>
      </c>
      <c r="L1050" s="31" t="s">
        <v>387</v>
      </c>
      <c r="M1050" s="32">
        <v>0.6</v>
      </c>
      <c r="N1050" s="27" t="s">
        <v>33</v>
      </c>
      <c r="O1050" s="27" t="s">
        <v>111</v>
      </c>
      <c r="P1050" s="27" t="s">
        <v>397</v>
      </c>
      <c r="Q1050" s="27" t="s">
        <v>2007</v>
      </c>
      <c r="R1050" s="33">
        <v>8830</v>
      </c>
      <c r="S1050" s="34">
        <v>42099</v>
      </c>
      <c r="T1050" s="34">
        <v>42100</v>
      </c>
      <c r="U1050" s="29">
        <v>-338.18083200000001</v>
      </c>
      <c r="V1050" s="26">
        <v>3</v>
      </c>
      <c r="W1050" s="29">
        <v>945.36</v>
      </c>
      <c r="X1050" s="26">
        <v>87383</v>
      </c>
      <c r="Y1050" s="35">
        <v>370.95000000000005</v>
      </c>
      <c r="Z1050" s="1" t="s">
        <v>3014</v>
      </c>
      <c r="AA1050" s="36">
        <v>8.9244000000000003</v>
      </c>
      <c r="AB1050" s="54">
        <v>378.14400000000001</v>
      </c>
      <c r="AC1050" s="54">
        <v>189.072</v>
      </c>
      <c r="AD1050" s="36">
        <v>1256.5564320000001</v>
      </c>
    </row>
    <row r="1051" spans="1:30" s="37" customFormat="1" ht="15.75" customHeight="1" x14ac:dyDescent="0.2">
      <c r="A1051" s="26">
        <v>1246</v>
      </c>
      <c r="B1051" s="27" t="s">
        <v>2011</v>
      </c>
      <c r="C1051" s="27" t="s">
        <v>38</v>
      </c>
      <c r="D1051" s="28">
        <v>0.1</v>
      </c>
      <c r="E1051" s="29">
        <v>22.38</v>
      </c>
      <c r="F1051" s="29">
        <v>15.1</v>
      </c>
      <c r="G1051" s="30" t="s">
        <v>39</v>
      </c>
      <c r="H1051" s="27" t="s">
        <v>71</v>
      </c>
      <c r="I1051" s="27" t="s">
        <v>49</v>
      </c>
      <c r="J1051" s="27" t="s">
        <v>72</v>
      </c>
      <c r="K1051" s="27" t="s">
        <v>73</v>
      </c>
      <c r="L1051" s="31" t="s">
        <v>1085</v>
      </c>
      <c r="M1051" s="32">
        <v>0.38</v>
      </c>
      <c r="N1051" s="27" t="s">
        <v>33</v>
      </c>
      <c r="O1051" s="27" t="s">
        <v>111</v>
      </c>
      <c r="P1051" s="27" t="s">
        <v>112</v>
      </c>
      <c r="Q1051" s="27" t="s">
        <v>113</v>
      </c>
      <c r="R1051" s="33">
        <v>10009</v>
      </c>
      <c r="S1051" s="34">
        <v>42099</v>
      </c>
      <c r="T1051" s="34">
        <v>42100</v>
      </c>
      <c r="U1051" s="29">
        <v>-107.51349999999999</v>
      </c>
      <c r="V1051" s="26">
        <v>26</v>
      </c>
      <c r="W1051" s="29">
        <v>564.98</v>
      </c>
      <c r="X1051" s="26">
        <v>36452</v>
      </c>
      <c r="Y1051" s="35">
        <v>22.279999999999998</v>
      </c>
      <c r="Z1051" s="1" t="s">
        <v>3014</v>
      </c>
      <c r="AA1051" s="36">
        <v>58.188000000000002</v>
      </c>
      <c r="AB1051" s="54">
        <v>350.2876</v>
      </c>
      <c r="AC1051" s="54">
        <v>8.2574000000000005</v>
      </c>
      <c r="AD1051" s="36">
        <v>599.20550000000003</v>
      </c>
    </row>
    <row r="1052" spans="1:30" s="37" customFormat="1" ht="15.75" customHeight="1" x14ac:dyDescent="0.2">
      <c r="A1052" s="26">
        <v>2960</v>
      </c>
      <c r="B1052" s="27" t="s">
        <v>2020</v>
      </c>
      <c r="C1052" s="27" t="s">
        <v>3094</v>
      </c>
      <c r="D1052" s="28">
        <v>0.1</v>
      </c>
      <c r="E1052" s="29">
        <v>36.549999999999997</v>
      </c>
      <c r="F1052" s="29">
        <v>13.89</v>
      </c>
      <c r="G1052" s="30" t="s">
        <v>39</v>
      </c>
      <c r="H1052" s="27" t="s">
        <v>94</v>
      </c>
      <c r="I1052" s="27" t="s">
        <v>49</v>
      </c>
      <c r="J1052" s="27" t="s">
        <v>50</v>
      </c>
      <c r="K1052" s="27" t="s">
        <v>51</v>
      </c>
      <c r="L1052" s="31" t="s">
        <v>1353</v>
      </c>
      <c r="M1052" s="32">
        <v>0.41</v>
      </c>
      <c r="N1052" s="27" t="s">
        <v>33</v>
      </c>
      <c r="O1052" s="27" t="s">
        <v>34</v>
      </c>
      <c r="P1052" s="27" t="s">
        <v>45</v>
      </c>
      <c r="Q1052" s="27" t="s">
        <v>2021</v>
      </c>
      <c r="R1052" s="33">
        <v>72956</v>
      </c>
      <c r="S1052" s="34">
        <v>42099</v>
      </c>
      <c r="T1052" s="34">
        <v>42101</v>
      </c>
      <c r="U1052" s="29">
        <v>-89.572000000000003</v>
      </c>
      <c r="V1052" s="26">
        <v>11</v>
      </c>
      <c r="W1052" s="29">
        <v>379.72</v>
      </c>
      <c r="X1052" s="26">
        <v>90646</v>
      </c>
      <c r="Y1052" s="35">
        <v>6.94</v>
      </c>
      <c r="Z1052" s="1" t="s">
        <v>3011</v>
      </c>
      <c r="AA1052" s="36">
        <v>40.204999999999998</v>
      </c>
      <c r="AB1052" s="54">
        <v>224.03480000000005</v>
      </c>
      <c r="AC1052" s="54">
        <v>14.1532</v>
      </c>
      <c r="AD1052" s="36">
        <v>415.197</v>
      </c>
    </row>
    <row r="1053" spans="1:30" s="37" customFormat="1" ht="15.75" customHeight="1" x14ac:dyDescent="0.2">
      <c r="A1053" s="26">
        <v>1459</v>
      </c>
      <c r="B1053" s="27" t="s">
        <v>2015</v>
      </c>
      <c r="C1053" s="27" t="s">
        <v>38</v>
      </c>
      <c r="D1053" s="28">
        <v>0.05</v>
      </c>
      <c r="E1053" s="29">
        <v>85.99</v>
      </c>
      <c r="F1053" s="29">
        <v>0.99</v>
      </c>
      <c r="G1053" s="30" t="s">
        <v>39</v>
      </c>
      <c r="H1053" s="27" t="s">
        <v>40</v>
      </c>
      <c r="I1053" s="27" t="s">
        <v>41</v>
      </c>
      <c r="J1053" s="27" t="s">
        <v>135</v>
      </c>
      <c r="K1053" s="27" t="s">
        <v>51</v>
      </c>
      <c r="L1053" s="31" t="s">
        <v>1176</v>
      </c>
      <c r="M1053" s="32">
        <v>0.55000000000000004</v>
      </c>
      <c r="N1053" s="27" t="s">
        <v>33</v>
      </c>
      <c r="O1053" s="27" t="s">
        <v>34</v>
      </c>
      <c r="P1053" s="27" t="s">
        <v>271</v>
      </c>
      <c r="Q1053" s="27" t="s">
        <v>2016</v>
      </c>
      <c r="R1053" s="33">
        <v>29687</v>
      </c>
      <c r="S1053" s="34">
        <v>42099</v>
      </c>
      <c r="T1053" s="34">
        <v>42101</v>
      </c>
      <c r="U1053" s="29">
        <v>36.216000000000001</v>
      </c>
      <c r="V1053" s="26">
        <v>4</v>
      </c>
      <c r="W1053" s="29">
        <v>291.64</v>
      </c>
      <c r="X1053" s="26">
        <v>86734</v>
      </c>
      <c r="Y1053" s="35">
        <v>22.279999999999998</v>
      </c>
      <c r="Z1053" s="1" t="s">
        <v>3011</v>
      </c>
      <c r="AA1053" s="36">
        <v>17.198</v>
      </c>
      <c r="AB1053" s="54">
        <v>131.23799999999997</v>
      </c>
      <c r="AC1053" s="54">
        <v>40.100500000000004</v>
      </c>
      <c r="AD1053" s="36">
        <v>237.23599999999999</v>
      </c>
    </row>
    <row r="1054" spans="1:30" s="37" customFormat="1" ht="15.75" customHeight="1" x14ac:dyDescent="0.2">
      <c r="A1054" s="26">
        <v>1247</v>
      </c>
      <c r="B1054" s="27" t="s">
        <v>2013</v>
      </c>
      <c r="C1054" s="27" t="s">
        <v>38</v>
      </c>
      <c r="D1054" s="28">
        <v>0.1</v>
      </c>
      <c r="E1054" s="29">
        <v>22.38</v>
      </c>
      <c r="F1054" s="29">
        <v>15.1</v>
      </c>
      <c r="G1054" s="30" t="s">
        <v>39</v>
      </c>
      <c r="H1054" s="27" t="s">
        <v>71</v>
      </c>
      <c r="I1054" s="27" t="s">
        <v>49</v>
      </c>
      <c r="J1054" s="27" t="s">
        <v>72</v>
      </c>
      <c r="K1054" s="27" t="s">
        <v>73</v>
      </c>
      <c r="L1054" s="31" t="s">
        <v>1085</v>
      </c>
      <c r="M1054" s="32">
        <v>0.38</v>
      </c>
      <c r="N1054" s="27" t="s">
        <v>33</v>
      </c>
      <c r="O1054" s="27" t="s">
        <v>53</v>
      </c>
      <c r="P1054" s="27" t="s">
        <v>187</v>
      </c>
      <c r="Q1054" s="27" t="s">
        <v>2014</v>
      </c>
      <c r="R1054" s="33">
        <v>78641</v>
      </c>
      <c r="S1054" s="34">
        <v>42099</v>
      </c>
      <c r="T1054" s="34">
        <v>42100</v>
      </c>
      <c r="U1054" s="29">
        <v>-107.51349999999999</v>
      </c>
      <c r="V1054" s="26">
        <v>7</v>
      </c>
      <c r="W1054" s="29">
        <v>152.11000000000001</v>
      </c>
      <c r="X1054" s="26">
        <v>91555</v>
      </c>
      <c r="Y1054" s="35">
        <v>6.94</v>
      </c>
      <c r="Z1054" s="1" t="s">
        <v>3012</v>
      </c>
      <c r="AA1054" s="36">
        <v>15.666</v>
      </c>
      <c r="AB1054" s="54">
        <v>94.308200000000014</v>
      </c>
      <c r="AC1054" s="54">
        <v>8.2574000000000005</v>
      </c>
      <c r="AD1054" s="36">
        <v>228.85750000000002</v>
      </c>
    </row>
    <row r="1055" spans="1:30" s="37" customFormat="1" ht="15.75" customHeight="1" x14ac:dyDescent="0.2">
      <c r="A1055" s="26">
        <v>1246</v>
      </c>
      <c r="B1055" s="27" t="s">
        <v>2011</v>
      </c>
      <c r="C1055" s="27" t="s">
        <v>38</v>
      </c>
      <c r="D1055" s="28">
        <v>0.04</v>
      </c>
      <c r="E1055" s="29">
        <v>6.98</v>
      </c>
      <c r="F1055" s="29">
        <v>2.83</v>
      </c>
      <c r="G1055" s="30" t="s">
        <v>39</v>
      </c>
      <c r="H1055" s="27" t="s">
        <v>71</v>
      </c>
      <c r="I1055" s="27" t="s">
        <v>29</v>
      </c>
      <c r="J1055" s="27" t="s">
        <v>126</v>
      </c>
      <c r="K1055" s="27" t="s">
        <v>43</v>
      </c>
      <c r="L1055" s="31" t="s">
        <v>2012</v>
      </c>
      <c r="M1055" s="32">
        <v>0.37</v>
      </c>
      <c r="N1055" s="27" t="s">
        <v>33</v>
      </c>
      <c r="O1055" s="27" t="s">
        <v>111</v>
      </c>
      <c r="P1055" s="27" t="s">
        <v>112</v>
      </c>
      <c r="Q1055" s="27" t="s">
        <v>113</v>
      </c>
      <c r="R1055" s="33">
        <v>10009</v>
      </c>
      <c r="S1055" s="34">
        <v>42099</v>
      </c>
      <c r="T1055" s="34">
        <v>42101</v>
      </c>
      <c r="U1055" s="29">
        <v>46.01</v>
      </c>
      <c r="V1055" s="26">
        <v>18</v>
      </c>
      <c r="W1055" s="29">
        <v>129.47999999999999</v>
      </c>
      <c r="X1055" s="26">
        <v>36452</v>
      </c>
      <c r="Y1055" s="35">
        <v>85.94</v>
      </c>
      <c r="Z1055" s="1" t="s">
        <v>3014</v>
      </c>
      <c r="AA1055" s="36">
        <v>5.0255999999999998</v>
      </c>
      <c r="AB1055" s="54">
        <v>81.572399999999988</v>
      </c>
      <c r="AC1055" s="54">
        <v>2.6615333333333329</v>
      </c>
      <c r="AD1055" s="36">
        <v>75.614399999999989</v>
      </c>
    </row>
    <row r="1056" spans="1:30" s="37" customFormat="1" ht="15.75" customHeight="1" x14ac:dyDescent="0.2">
      <c r="A1056" s="26">
        <v>1247</v>
      </c>
      <c r="B1056" s="27" t="s">
        <v>2013</v>
      </c>
      <c r="C1056" s="27" t="s">
        <v>38</v>
      </c>
      <c r="D1056" s="28">
        <v>0.04</v>
      </c>
      <c r="E1056" s="29">
        <v>6.98</v>
      </c>
      <c r="F1056" s="29">
        <v>2.83</v>
      </c>
      <c r="G1056" s="30" t="s">
        <v>39</v>
      </c>
      <c r="H1056" s="27" t="s">
        <v>71</v>
      </c>
      <c r="I1056" s="27" t="s">
        <v>29</v>
      </c>
      <c r="J1056" s="27" t="s">
        <v>126</v>
      </c>
      <c r="K1056" s="27" t="s">
        <v>43</v>
      </c>
      <c r="L1056" s="31" t="s">
        <v>2012</v>
      </c>
      <c r="M1056" s="32">
        <v>0.37</v>
      </c>
      <c r="N1056" s="27" t="s">
        <v>33</v>
      </c>
      <c r="O1056" s="27" t="s">
        <v>53</v>
      </c>
      <c r="P1056" s="27" t="s">
        <v>187</v>
      </c>
      <c r="Q1056" s="27" t="s">
        <v>2014</v>
      </c>
      <c r="R1056" s="33">
        <v>78641</v>
      </c>
      <c r="S1056" s="34">
        <v>42099</v>
      </c>
      <c r="T1056" s="34">
        <v>42101</v>
      </c>
      <c r="U1056" s="29">
        <v>24.819299999999998</v>
      </c>
      <c r="V1056" s="26">
        <v>5</v>
      </c>
      <c r="W1056" s="29">
        <v>35.97</v>
      </c>
      <c r="X1056" s="26">
        <v>91555</v>
      </c>
      <c r="Y1056" s="35">
        <v>320.61</v>
      </c>
      <c r="Z1056" s="1" t="s">
        <v>3012</v>
      </c>
      <c r="AA1056" s="36">
        <v>1.3959999999999999</v>
      </c>
      <c r="AB1056" s="54">
        <v>22.661100000000001</v>
      </c>
      <c r="AC1056" s="54">
        <v>2.6617799999999998</v>
      </c>
      <c r="AD1056" s="36">
        <v>6.9247000000000014</v>
      </c>
    </row>
    <row r="1057" spans="1:30" s="37" customFormat="1" ht="15.75" customHeight="1" x14ac:dyDescent="0.2">
      <c r="A1057" s="26">
        <v>635</v>
      </c>
      <c r="B1057" s="27" t="s">
        <v>2008</v>
      </c>
      <c r="C1057" s="27" t="s">
        <v>38</v>
      </c>
      <c r="D1057" s="28">
        <v>0.01</v>
      </c>
      <c r="E1057" s="29">
        <v>2.08</v>
      </c>
      <c r="F1057" s="29">
        <v>5.33</v>
      </c>
      <c r="G1057" s="30" t="s">
        <v>39</v>
      </c>
      <c r="H1057" s="27" t="s">
        <v>94</v>
      </c>
      <c r="I1057" s="27" t="s">
        <v>29</v>
      </c>
      <c r="J1057" s="27" t="s">
        <v>126</v>
      </c>
      <c r="K1057" s="27" t="s">
        <v>73</v>
      </c>
      <c r="L1057" s="31" t="s">
        <v>459</v>
      </c>
      <c r="M1057" s="32">
        <v>0.43</v>
      </c>
      <c r="N1057" s="27" t="s">
        <v>33</v>
      </c>
      <c r="O1057" s="27" t="s">
        <v>53</v>
      </c>
      <c r="P1057" s="27" t="s">
        <v>84</v>
      </c>
      <c r="Q1057" s="27" t="s">
        <v>2009</v>
      </c>
      <c r="R1057" s="33">
        <v>55106</v>
      </c>
      <c r="S1057" s="34">
        <v>42099</v>
      </c>
      <c r="T1057" s="34">
        <v>42099</v>
      </c>
      <c r="U1057" s="29">
        <v>-103.7124</v>
      </c>
      <c r="V1057" s="26">
        <v>12</v>
      </c>
      <c r="W1057" s="29">
        <v>28.32</v>
      </c>
      <c r="X1057" s="26">
        <v>89284</v>
      </c>
      <c r="Y1057" s="35">
        <v>36.449999999999996</v>
      </c>
      <c r="Z1057" s="1" t="s">
        <v>3012</v>
      </c>
      <c r="AA1057" s="36">
        <v>0.24960000000000004</v>
      </c>
      <c r="AB1057" s="54">
        <v>16.142400000000002</v>
      </c>
      <c r="AC1057" s="54">
        <v>1.0147999999999999</v>
      </c>
      <c r="AD1057" s="36">
        <v>126.4528</v>
      </c>
    </row>
    <row r="1058" spans="1:30" s="37" customFormat="1" ht="15.75" customHeight="1" x14ac:dyDescent="0.2">
      <c r="A1058" s="26">
        <v>102</v>
      </c>
      <c r="B1058" s="27" t="s">
        <v>2042</v>
      </c>
      <c r="C1058" s="27" t="s">
        <v>116</v>
      </c>
      <c r="D1058" s="28">
        <v>0.04</v>
      </c>
      <c r="E1058" s="29">
        <v>300.98</v>
      </c>
      <c r="F1058" s="29">
        <v>54.92</v>
      </c>
      <c r="G1058" s="30" t="s">
        <v>27</v>
      </c>
      <c r="H1058" s="27" t="s">
        <v>40</v>
      </c>
      <c r="I1058" s="27" t="s">
        <v>29</v>
      </c>
      <c r="J1058" s="27" t="s">
        <v>117</v>
      </c>
      <c r="K1058" s="27" t="s">
        <v>31</v>
      </c>
      <c r="L1058" s="31" t="s">
        <v>1970</v>
      </c>
      <c r="M1058" s="32">
        <v>0.55000000000000004</v>
      </c>
      <c r="N1058" s="27" t="s">
        <v>33</v>
      </c>
      <c r="O1058" s="27" t="s">
        <v>111</v>
      </c>
      <c r="P1058" s="27" t="s">
        <v>403</v>
      </c>
      <c r="Q1058" s="27" t="s">
        <v>788</v>
      </c>
      <c r="R1058" s="33">
        <v>2129</v>
      </c>
      <c r="S1058" s="34">
        <v>42100</v>
      </c>
      <c r="T1058" s="34">
        <v>42101</v>
      </c>
      <c r="U1058" s="29">
        <v>2023.75</v>
      </c>
      <c r="V1058" s="26">
        <v>31</v>
      </c>
      <c r="W1058" s="29">
        <v>9459.94</v>
      </c>
      <c r="X1058" s="26">
        <v>42599</v>
      </c>
      <c r="Y1058" s="35">
        <v>2.1500000000000004</v>
      </c>
      <c r="Z1058" s="1" t="s">
        <v>3014</v>
      </c>
      <c r="AA1058" s="36">
        <v>373.21520000000004</v>
      </c>
      <c r="AB1058" s="54">
        <v>4256.973</v>
      </c>
      <c r="AC1058" s="54">
        <v>167.83764516129034</v>
      </c>
      <c r="AD1058" s="36">
        <v>7008.0547999999999</v>
      </c>
    </row>
    <row r="1059" spans="1:30" s="37" customFormat="1" ht="15.75" customHeight="1" x14ac:dyDescent="0.2">
      <c r="A1059" s="26">
        <v>107</v>
      </c>
      <c r="B1059" s="27" t="s">
        <v>2043</v>
      </c>
      <c r="C1059" s="27" t="s">
        <v>116</v>
      </c>
      <c r="D1059" s="28">
        <v>0.04</v>
      </c>
      <c r="E1059" s="29">
        <v>300.98</v>
      </c>
      <c r="F1059" s="29">
        <v>54.92</v>
      </c>
      <c r="G1059" s="30" t="s">
        <v>27</v>
      </c>
      <c r="H1059" s="27" t="s">
        <v>40</v>
      </c>
      <c r="I1059" s="27" t="s">
        <v>29</v>
      </c>
      <c r="J1059" s="27" t="s">
        <v>117</v>
      </c>
      <c r="K1059" s="27" t="s">
        <v>31</v>
      </c>
      <c r="L1059" s="31" t="s">
        <v>1970</v>
      </c>
      <c r="M1059" s="32">
        <v>0.55000000000000004</v>
      </c>
      <c r="N1059" s="27" t="s">
        <v>33</v>
      </c>
      <c r="O1059" s="27" t="s">
        <v>111</v>
      </c>
      <c r="P1059" s="27" t="s">
        <v>1356</v>
      </c>
      <c r="Q1059" s="27" t="s">
        <v>2044</v>
      </c>
      <c r="R1059" s="33">
        <v>3820</v>
      </c>
      <c r="S1059" s="34">
        <v>42100</v>
      </c>
      <c r="T1059" s="34">
        <v>42101</v>
      </c>
      <c r="U1059" s="29">
        <v>1684.4763</v>
      </c>
      <c r="V1059" s="26">
        <v>8</v>
      </c>
      <c r="W1059" s="29">
        <v>2441.27</v>
      </c>
      <c r="X1059" s="26">
        <v>88204</v>
      </c>
      <c r="Y1059" s="35">
        <v>170.97</v>
      </c>
      <c r="Z1059" s="1" t="s">
        <v>3014</v>
      </c>
      <c r="AA1059" s="36">
        <v>96.313600000000008</v>
      </c>
      <c r="AB1059" s="54">
        <v>1098.5714999999998</v>
      </c>
      <c r="AC1059" s="54">
        <v>167.83731250000002</v>
      </c>
      <c r="AD1059" s="36">
        <v>605.56009999999992</v>
      </c>
    </row>
    <row r="1060" spans="1:30" s="37" customFormat="1" ht="15.75" customHeight="1" x14ac:dyDescent="0.2">
      <c r="A1060" s="26">
        <v>929</v>
      </c>
      <c r="B1060" s="27" t="s">
        <v>2024</v>
      </c>
      <c r="C1060" s="27" t="s">
        <v>26</v>
      </c>
      <c r="D1060" s="28">
        <v>0.01</v>
      </c>
      <c r="E1060" s="29">
        <v>170.98</v>
      </c>
      <c r="F1060" s="29">
        <v>35.89</v>
      </c>
      <c r="G1060" s="30" t="s">
        <v>27</v>
      </c>
      <c r="H1060" s="27" t="s">
        <v>3095</v>
      </c>
      <c r="I1060" s="27" t="s">
        <v>29</v>
      </c>
      <c r="J1060" s="27" t="s">
        <v>117</v>
      </c>
      <c r="K1060" s="27" t="s">
        <v>31</v>
      </c>
      <c r="L1060" s="31" t="s">
        <v>1469</v>
      </c>
      <c r="M1060" s="32">
        <v>0.66</v>
      </c>
      <c r="N1060" s="27" t="s">
        <v>33</v>
      </c>
      <c r="O1060" s="27" t="s">
        <v>111</v>
      </c>
      <c r="P1060" s="27" t="s">
        <v>397</v>
      </c>
      <c r="Q1060" s="27" t="s">
        <v>2025</v>
      </c>
      <c r="R1060" s="33">
        <v>8857</v>
      </c>
      <c r="S1060" s="34">
        <v>42100</v>
      </c>
      <c r="T1060" s="34">
        <v>42102</v>
      </c>
      <c r="U1060" s="29">
        <v>538.52</v>
      </c>
      <c r="V1060" s="26">
        <v>10</v>
      </c>
      <c r="W1060" s="29">
        <v>1719.07</v>
      </c>
      <c r="X1060" s="26">
        <v>87134</v>
      </c>
      <c r="Y1060" s="35">
        <v>2.8800000000000003</v>
      </c>
      <c r="Z1060" s="1" t="s">
        <v>3014</v>
      </c>
      <c r="AA1060" s="36">
        <v>17.097999999999999</v>
      </c>
      <c r="AB1060" s="54">
        <v>584.48379999999997</v>
      </c>
      <c r="AC1060" s="54">
        <v>113.45862</v>
      </c>
      <c r="AD1060" s="36">
        <v>1127.5619999999999</v>
      </c>
    </row>
    <row r="1061" spans="1:30" s="37" customFormat="1" ht="15.75" customHeight="1" x14ac:dyDescent="0.2">
      <c r="A1061" s="26">
        <v>3279</v>
      </c>
      <c r="B1061" s="27" t="s">
        <v>1636</v>
      </c>
      <c r="C1061" s="27" t="s">
        <v>38</v>
      </c>
      <c r="D1061" s="28">
        <v>0.01</v>
      </c>
      <c r="E1061" s="29">
        <v>125.99</v>
      </c>
      <c r="F1061" s="29">
        <v>7.69</v>
      </c>
      <c r="G1061" s="30" t="s">
        <v>39</v>
      </c>
      <c r="H1061" s="27" t="s">
        <v>71</v>
      </c>
      <c r="I1061" s="27" t="s">
        <v>41</v>
      </c>
      <c r="J1061" s="27" t="s">
        <v>135</v>
      </c>
      <c r="K1061" s="27" t="s">
        <v>73</v>
      </c>
      <c r="L1061" s="31" t="s">
        <v>1049</v>
      </c>
      <c r="M1061" s="32">
        <v>0.57999999999999996</v>
      </c>
      <c r="N1061" s="27" t="s">
        <v>33</v>
      </c>
      <c r="O1061" s="27" t="s">
        <v>34</v>
      </c>
      <c r="P1061" s="27" t="s">
        <v>271</v>
      </c>
      <c r="Q1061" s="27" t="s">
        <v>1637</v>
      </c>
      <c r="R1061" s="33">
        <v>29203</v>
      </c>
      <c r="S1061" s="34">
        <v>42100</v>
      </c>
      <c r="T1061" s="34">
        <v>42100</v>
      </c>
      <c r="U1061" s="29">
        <v>8.3219999999999992</v>
      </c>
      <c r="V1061" s="26">
        <v>11</v>
      </c>
      <c r="W1061" s="29">
        <v>1212.8800000000001</v>
      </c>
      <c r="X1061" s="26">
        <v>90766</v>
      </c>
      <c r="Y1061" s="35">
        <v>55.99</v>
      </c>
      <c r="Z1061" s="1" t="s">
        <v>3011</v>
      </c>
      <c r="AA1061" s="36">
        <v>13.8589</v>
      </c>
      <c r="AB1061" s="54">
        <v>509.40960000000007</v>
      </c>
      <c r="AC1061" s="54">
        <v>63.951854545454545</v>
      </c>
      <c r="AD1061" s="36">
        <v>1183.0091000000002</v>
      </c>
    </row>
    <row r="1062" spans="1:30" s="37" customFormat="1" ht="15.75" customHeight="1" x14ac:dyDescent="0.2">
      <c r="A1062" s="26">
        <v>2334</v>
      </c>
      <c r="B1062" s="27" t="s">
        <v>2038</v>
      </c>
      <c r="C1062" s="27" t="s">
        <v>48</v>
      </c>
      <c r="D1062" s="28">
        <v>0.06</v>
      </c>
      <c r="E1062" s="29">
        <v>60.65</v>
      </c>
      <c r="F1062" s="29">
        <v>12.23</v>
      </c>
      <c r="G1062" s="30" t="s">
        <v>39</v>
      </c>
      <c r="H1062" s="27" t="s">
        <v>40</v>
      </c>
      <c r="I1062" s="27" t="s">
        <v>29</v>
      </c>
      <c r="J1062" s="27" t="s">
        <v>126</v>
      </c>
      <c r="K1062" s="27" t="s">
        <v>144</v>
      </c>
      <c r="L1062" s="31" t="s">
        <v>1181</v>
      </c>
      <c r="M1062" s="32">
        <v>0.64</v>
      </c>
      <c r="N1062" s="27" t="s">
        <v>33</v>
      </c>
      <c r="O1062" s="27" t="s">
        <v>53</v>
      </c>
      <c r="P1062" s="27" t="s">
        <v>357</v>
      </c>
      <c r="Q1062" s="27" t="s">
        <v>2039</v>
      </c>
      <c r="R1062" s="33">
        <v>53220</v>
      </c>
      <c r="S1062" s="34">
        <v>42100</v>
      </c>
      <c r="T1062" s="34">
        <v>42102</v>
      </c>
      <c r="U1062" s="29">
        <v>427.00650000000002</v>
      </c>
      <c r="V1062" s="26">
        <v>10</v>
      </c>
      <c r="W1062" s="29">
        <v>618.85</v>
      </c>
      <c r="X1062" s="26">
        <v>89608</v>
      </c>
      <c r="Y1062" s="35">
        <v>5.1099999999999994</v>
      </c>
      <c r="Z1062" s="1" t="s">
        <v>3012</v>
      </c>
      <c r="AA1062" s="36">
        <v>36.39</v>
      </c>
      <c r="AB1062" s="54">
        <v>222.786</v>
      </c>
      <c r="AC1062" s="54">
        <v>39.606400000000001</v>
      </c>
      <c r="AD1062" s="36">
        <v>143.2235</v>
      </c>
    </row>
    <row r="1063" spans="1:30" s="37" customFormat="1" ht="15.75" customHeight="1" x14ac:dyDescent="0.2">
      <c r="A1063" s="26">
        <v>3279</v>
      </c>
      <c r="B1063" s="27" t="s">
        <v>1636</v>
      </c>
      <c r="C1063" s="27" t="s">
        <v>38</v>
      </c>
      <c r="D1063" s="28">
        <v>0.06</v>
      </c>
      <c r="E1063" s="29">
        <v>89.83</v>
      </c>
      <c r="F1063" s="29">
        <v>35</v>
      </c>
      <c r="G1063" s="30" t="s">
        <v>39</v>
      </c>
      <c r="H1063" s="27" t="s">
        <v>71</v>
      </c>
      <c r="I1063" s="27" t="s">
        <v>49</v>
      </c>
      <c r="J1063" s="27" t="s">
        <v>78</v>
      </c>
      <c r="K1063" s="27" t="s">
        <v>65</v>
      </c>
      <c r="L1063" s="31" t="s">
        <v>2035</v>
      </c>
      <c r="M1063" s="32">
        <v>0.83</v>
      </c>
      <c r="N1063" s="27" t="s">
        <v>33</v>
      </c>
      <c r="O1063" s="27" t="s">
        <v>34</v>
      </c>
      <c r="P1063" s="27" t="s">
        <v>271</v>
      </c>
      <c r="Q1063" s="27" t="s">
        <v>1637</v>
      </c>
      <c r="R1063" s="33">
        <v>29203</v>
      </c>
      <c r="S1063" s="34">
        <v>42100</v>
      </c>
      <c r="T1063" s="34">
        <v>42102</v>
      </c>
      <c r="U1063" s="29">
        <v>31.11</v>
      </c>
      <c r="V1063" s="26">
        <v>4</v>
      </c>
      <c r="W1063" s="29">
        <v>366.26</v>
      </c>
      <c r="X1063" s="26">
        <v>90766</v>
      </c>
      <c r="Y1063" s="35">
        <v>12.790000000000001</v>
      </c>
      <c r="Z1063" s="1" t="s">
        <v>3011</v>
      </c>
      <c r="AA1063" s="36">
        <v>21.559199999999997</v>
      </c>
      <c r="AB1063" s="54">
        <v>62.264200000000017</v>
      </c>
      <c r="AC1063" s="54">
        <v>75.998949999999994</v>
      </c>
      <c r="AD1063" s="36">
        <v>278.5908</v>
      </c>
    </row>
    <row r="1064" spans="1:30" s="37" customFormat="1" ht="15.75" customHeight="1" x14ac:dyDescent="0.2">
      <c r="A1064" s="26">
        <v>1113</v>
      </c>
      <c r="B1064" s="27" t="s">
        <v>2026</v>
      </c>
      <c r="C1064" s="27" t="s">
        <v>26</v>
      </c>
      <c r="D1064" s="28">
        <v>0</v>
      </c>
      <c r="E1064" s="29">
        <v>55.99</v>
      </c>
      <c r="F1064" s="29">
        <v>5</v>
      </c>
      <c r="G1064" s="30" t="s">
        <v>39</v>
      </c>
      <c r="H1064" s="27" t="s">
        <v>94</v>
      </c>
      <c r="I1064" s="27" t="s">
        <v>41</v>
      </c>
      <c r="J1064" s="27" t="s">
        <v>135</v>
      </c>
      <c r="K1064" s="27" t="s">
        <v>43</v>
      </c>
      <c r="L1064" s="31" t="s">
        <v>1931</v>
      </c>
      <c r="M1064" s="32">
        <v>0.8</v>
      </c>
      <c r="N1064" s="27" t="s">
        <v>33</v>
      </c>
      <c r="O1064" s="27" t="s">
        <v>60</v>
      </c>
      <c r="P1064" s="27" t="s">
        <v>61</v>
      </c>
      <c r="Q1064" s="27" t="s">
        <v>2027</v>
      </c>
      <c r="R1064" s="33">
        <v>80004</v>
      </c>
      <c r="S1064" s="34">
        <v>42100</v>
      </c>
      <c r="T1064" s="34">
        <v>42102</v>
      </c>
      <c r="U1064" s="29">
        <v>-187.11</v>
      </c>
      <c r="V1064" s="26">
        <v>5</v>
      </c>
      <c r="W1064" s="29">
        <v>258.93</v>
      </c>
      <c r="X1064" s="26">
        <v>90833</v>
      </c>
      <c r="Y1064" s="35">
        <v>45.97</v>
      </c>
      <c r="Z1064" s="1" t="s">
        <v>3013</v>
      </c>
      <c r="AA1064" s="36">
        <v>0</v>
      </c>
      <c r="AB1064" s="54">
        <v>51.785999999999987</v>
      </c>
      <c r="AC1064" s="54">
        <v>41.428800000000003</v>
      </c>
      <c r="AD1064" s="36">
        <v>441.04</v>
      </c>
    </row>
    <row r="1065" spans="1:30" s="37" customFormat="1" ht="15.75" customHeight="1" x14ac:dyDescent="0.2">
      <c r="A1065" s="26">
        <v>1620</v>
      </c>
      <c r="B1065" s="27" t="s">
        <v>2032</v>
      </c>
      <c r="C1065" s="27" t="s">
        <v>38</v>
      </c>
      <c r="D1065" s="28">
        <v>0.02</v>
      </c>
      <c r="E1065" s="29">
        <v>45.99</v>
      </c>
      <c r="F1065" s="29">
        <v>4.99</v>
      </c>
      <c r="G1065" s="30" t="s">
        <v>87</v>
      </c>
      <c r="H1065" s="27" t="s">
        <v>40</v>
      </c>
      <c r="I1065" s="27" t="s">
        <v>41</v>
      </c>
      <c r="J1065" s="27" t="s">
        <v>135</v>
      </c>
      <c r="K1065" s="27" t="s">
        <v>73</v>
      </c>
      <c r="L1065" s="31" t="s">
        <v>2033</v>
      </c>
      <c r="M1065" s="32">
        <v>0.56999999999999995</v>
      </c>
      <c r="N1065" s="27" t="s">
        <v>33</v>
      </c>
      <c r="O1065" s="27" t="s">
        <v>111</v>
      </c>
      <c r="P1065" s="27" t="s">
        <v>320</v>
      </c>
      <c r="Q1065" s="27" t="s">
        <v>2034</v>
      </c>
      <c r="R1065" s="33">
        <v>17602</v>
      </c>
      <c r="S1065" s="34">
        <v>42100</v>
      </c>
      <c r="T1065" s="34">
        <v>42101</v>
      </c>
      <c r="U1065" s="29">
        <v>3.96</v>
      </c>
      <c r="V1065" s="26">
        <v>4</v>
      </c>
      <c r="W1065" s="29">
        <v>163.01</v>
      </c>
      <c r="X1065" s="26">
        <v>90248</v>
      </c>
      <c r="Y1065" s="35">
        <v>89.77</v>
      </c>
      <c r="Z1065" s="1" t="s">
        <v>3014</v>
      </c>
      <c r="AA1065" s="36">
        <v>3.6792000000000002</v>
      </c>
      <c r="AB1065" s="54">
        <v>70.094300000000004</v>
      </c>
      <c r="AC1065" s="54">
        <v>23.228924999999997</v>
      </c>
      <c r="AD1065" s="36">
        <v>150.38079999999999</v>
      </c>
    </row>
    <row r="1066" spans="1:30" s="37" customFormat="1" ht="15.75" customHeight="1" x14ac:dyDescent="0.2">
      <c r="A1066" s="26">
        <v>1618</v>
      </c>
      <c r="B1066" s="27" t="s">
        <v>2030</v>
      </c>
      <c r="C1066" s="27" t="s">
        <v>38</v>
      </c>
      <c r="D1066" s="28">
        <v>0.09</v>
      </c>
      <c r="E1066" s="29">
        <v>12.88</v>
      </c>
      <c r="F1066" s="29">
        <v>4.59</v>
      </c>
      <c r="G1066" s="30" t="s">
        <v>39</v>
      </c>
      <c r="H1066" s="27" t="s">
        <v>40</v>
      </c>
      <c r="I1066" s="27" t="s">
        <v>49</v>
      </c>
      <c r="J1066" s="27" t="s">
        <v>568</v>
      </c>
      <c r="K1066" s="27" t="s">
        <v>51</v>
      </c>
      <c r="L1066" s="31" t="s">
        <v>2031</v>
      </c>
      <c r="M1066" s="32">
        <v>0.82</v>
      </c>
      <c r="N1066" s="27" t="s">
        <v>33</v>
      </c>
      <c r="O1066" s="27" t="s">
        <v>53</v>
      </c>
      <c r="P1066" s="27" t="s">
        <v>54</v>
      </c>
      <c r="Q1066" s="27" t="s">
        <v>1822</v>
      </c>
      <c r="R1066" s="33">
        <v>46322</v>
      </c>
      <c r="S1066" s="34">
        <v>42100</v>
      </c>
      <c r="T1066" s="34">
        <v>42100</v>
      </c>
      <c r="U1066" s="29">
        <v>-175.13</v>
      </c>
      <c r="V1066" s="26">
        <v>13</v>
      </c>
      <c r="W1066" s="29">
        <v>158.13</v>
      </c>
      <c r="X1066" s="26">
        <v>90248</v>
      </c>
      <c r="Y1066" s="35">
        <v>13.33</v>
      </c>
      <c r="Z1066" s="1" t="s">
        <v>3012</v>
      </c>
      <c r="AA1066" s="36">
        <v>15.069599999999999</v>
      </c>
      <c r="AB1066" s="54">
        <v>28.463400000000007</v>
      </c>
      <c r="AC1066" s="54">
        <v>9.9743538461538446</v>
      </c>
      <c r="AD1066" s="36">
        <v>313.60039999999998</v>
      </c>
    </row>
    <row r="1067" spans="1:30" s="37" customFormat="1" ht="15.75" customHeight="1" x14ac:dyDescent="0.2">
      <c r="A1067" s="26">
        <v>3279</v>
      </c>
      <c r="B1067" s="27" t="s">
        <v>1636</v>
      </c>
      <c r="C1067" s="27" t="s">
        <v>38</v>
      </c>
      <c r="D1067" s="28">
        <v>0.1</v>
      </c>
      <c r="E1067" s="29">
        <v>13.43</v>
      </c>
      <c r="F1067" s="29">
        <v>5.5</v>
      </c>
      <c r="G1067" s="30" t="s">
        <v>39</v>
      </c>
      <c r="H1067" s="27" t="s">
        <v>71</v>
      </c>
      <c r="I1067" s="27" t="s">
        <v>49</v>
      </c>
      <c r="J1067" s="27" t="s">
        <v>78</v>
      </c>
      <c r="K1067" s="27" t="s">
        <v>73</v>
      </c>
      <c r="L1067" s="31" t="s">
        <v>559</v>
      </c>
      <c r="M1067" s="32">
        <v>0.56999999999999995</v>
      </c>
      <c r="N1067" s="27" t="s">
        <v>33</v>
      </c>
      <c r="O1067" s="27" t="s">
        <v>34</v>
      </c>
      <c r="P1067" s="27" t="s">
        <v>271</v>
      </c>
      <c r="Q1067" s="27" t="s">
        <v>1637</v>
      </c>
      <c r="R1067" s="33">
        <v>29203</v>
      </c>
      <c r="S1067" s="34">
        <v>42100</v>
      </c>
      <c r="T1067" s="34">
        <v>42102</v>
      </c>
      <c r="U1067" s="29">
        <v>358.29539999999997</v>
      </c>
      <c r="V1067" s="26">
        <v>12</v>
      </c>
      <c r="W1067" s="29">
        <v>157.99</v>
      </c>
      <c r="X1067" s="26">
        <v>90766</v>
      </c>
      <c r="Y1067" s="35">
        <v>125.97999999999999</v>
      </c>
      <c r="Z1067" s="1" t="s">
        <v>3011</v>
      </c>
      <c r="AA1067" s="36">
        <v>16.116</v>
      </c>
      <c r="AB1067" s="54">
        <v>67.935700000000011</v>
      </c>
      <c r="AC1067" s="54">
        <v>7.5045249999999992</v>
      </c>
      <c r="AD1067" s="36">
        <v>-221.92139999999995</v>
      </c>
    </row>
    <row r="1068" spans="1:30" s="37" customFormat="1" ht="15.75" customHeight="1" x14ac:dyDescent="0.2">
      <c r="A1068" s="26">
        <v>2240</v>
      </c>
      <c r="B1068" s="27" t="s">
        <v>2036</v>
      </c>
      <c r="C1068" s="27" t="s">
        <v>48</v>
      </c>
      <c r="D1068" s="28">
        <v>0.01</v>
      </c>
      <c r="E1068" s="29">
        <v>13.43</v>
      </c>
      <c r="F1068" s="29">
        <v>5.5</v>
      </c>
      <c r="G1068" s="30" t="s">
        <v>87</v>
      </c>
      <c r="H1068" s="27" t="s">
        <v>94</v>
      </c>
      <c r="I1068" s="27" t="s">
        <v>49</v>
      </c>
      <c r="J1068" s="27" t="s">
        <v>78</v>
      </c>
      <c r="K1068" s="27" t="s">
        <v>73</v>
      </c>
      <c r="L1068" s="31" t="s">
        <v>559</v>
      </c>
      <c r="M1068" s="32">
        <v>0.56999999999999995</v>
      </c>
      <c r="N1068" s="27" t="s">
        <v>33</v>
      </c>
      <c r="O1068" s="27" t="s">
        <v>34</v>
      </c>
      <c r="P1068" s="27" t="s">
        <v>123</v>
      </c>
      <c r="Q1068" s="27" t="s">
        <v>2037</v>
      </c>
      <c r="R1068" s="33">
        <v>33801</v>
      </c>
      <c r="S1068" s="34">
        <v>42100</v>
      </c>
      <c r="T1068" s="34">
        <v>42107</v>
      </c>
      <c r="U1068" s="29">
        <v>-313.02179999999998</v>
      </c>
      <c r="V1068" s="26">
        <v>7</v>
      </c>
      <c r="W1068" s="29">
        <v>99.75</v>
      </c>
      <c r="X1068" s="26">
        <v>89102</v>
      </c>
      <c r="Y1068" s="35">
        <v>13.42</v>
      </c>
      <c r="Z1068" s="1" t="s">
        <v>3011</v>
      </c>
      <c r="AA1068" s="36">
        <v>0.94010000000000005</v>
      </c>
      <c r="AB1068" s="54">
        <v>42.892500000000005</v>
      </c>
      <c r="AC1068" s="54">
        <v>8.1224999999999987</v>
      </c>
      <c r="AD1068" s="36">
        <v>406.33170000000001</v>
      </c>
    </row>
    <row r="1069" spans="1:30" s="37" customFormat="1" ht="15.75" customHeight="1" x14ac:dyDescent="0.2">
      <c r="A1069" s="26">
        <v>2481</v>
      </c>
      <c r="B1069" s="27" t="s">
        <v>2028</v>
      </c>
      <c r="C1069" s="27" t="s">
        <v>26</v>
      </c>
      <c r="D1069" s="28">
        <v>7.0000000000000007E-2</v>
      </c>
      <c r="E1069" s="29">
        <v>5.18</v>
      </c>
      <c r="F1069" s="29">
        <v>5.74</v>
      </c>
      <c r="G1069" s="30" t="s">
        <v>87</v>
      </c>
      <c r="H1069" s="27" t="s">
        <v>94</v>
      </c>
      <c r="I1069" s="27" t="s">
        <v>49</v>
      </c>
      <c r="J1069" s="27" t="s">
        <v>72</v>
      </c>
      <c r="K1069" s="27" t="s">
        <v>73</v>
      </c>
      <c r="L1069" s="31" t="s">
        <v>850</v>
      </c>
      <c r="M1069" s="32">
        <v>0.36</v>
      </c>
      <c r="N1069" s="27" t="s">
        <v>33</v>
      </c>
      <c r="O1069" s="27" t="s">
        <v>34</v>
      </c>
      <c r="P1069" s="27" t="s">
        <v>168</v>
      </c>
      <c r="Q1069" s="27" t="s">
        <v>2029</v>
      </c>
      <c r="R1069" s="33">
        <v>70506</v>
      </c>
      <c r="S1069" s="34">
        <v>42100</v>
      </c>
      <c r="T1069" s="34">
        <v>42102</v>
      </c>
      <c r="U1069" s="29">
        <v>-188.03399999999999</v>
      </c>
      <c r="V1069" s="26">
        <v>14</v>
      </c>
      <c r="W1069" s="29">
        <v>79.61</v>
      </c>
      <c r="X1069" s="26">
        <v>91000</v>
      </c>
      <c r="Y1069" s="35">
        <v>60.589999999999996</v>
      </c>
      <c r="Z1069" s="1" t="s">
        <v>3011</v>
      </c>
      <c r="AA1069" s="36">
        <v>5.0764000000000005</v>
      </c>
      <c r="AB1069" s="54">
        <v>50.950400000000002</v>
      </c>
      <c r="AC1069" s="54">
        <v>2.0471142857142857</v>
      </c>
      <c r="AD1069" s="36">
        <v>256.82759999999996</v>
      </c>
    </row>
    <row r="1070" spans="1:30" s="37" customFormat="1" ht="15.75" customHeight="1" x14ac:dyDescent="0.2">
      <c r="A1070" s="26">
        <v>786</v>
      </c>
      <c r="B1070" s="27" t="s">
        <v>2045</v>
      </c>
      <c r="C1070" s="27" t="s">
        <v>116</v>
      </c>
      <c r="D1070" s="28">
        <v>0</v>
      </c>
      <c r="E1070" s="29">
        <v>8.34</v>
      </c>
      <c r="F1070" s="29">
        <v>4.82</v>
      </c>
      <c r="G1070" s="30" t="s">
        <v>39</v>
      </c>
      <c r="H1070" s="27" t="s">
        <v>71</v>
      </c>
      <c r="I1070" s="27" t="s">
        <v>49</v>
      </c>
      <c r="J1070" s="27" t="s">
        <v>88</v>
      </c>
      <c r="K1070" s="27" t="s">
        <v>73</v>
      </c>
      <c r="L1070" s="31" t="s">
        <v>961</v>
      </c>
      <c r="M1070" s="32">
        <v>0.4</v>
      </c>
      <c r="N1070" s="27" t="s">
        <v>33</v>
      </c>
      <c r="O1070" s="27" t="s">
        <v>60</v>
      </c>
      <c r="P1070" s="27" t="s">
        <v>90</v>
      </c>
      <c r="Q1070" s="27" t="s">
        <v>2046</v>
      </c>
      <c r="R1070" s="33">
        <v>92691</v>
      </c>
      <c r="S1070" s="34">
        <v>42100</v>
      </c>
      <c r="T1070" s="34">
        <v>42101</v>
      </c>
      <c r="U1070" s="29">
        <v>-5.05</v>
      </c>
      <c r="V1070" s="26">
        <v>9</v>
      </c>
      <c r="W1070" s="29">
        <v>76.23</v>
      </c>
      <c r="X1070" s="26">
        <v>91513</v>
      </c>
      <c r="Y1070" s="35">
        <v>4.79</v>
      </c>
      <c r="Z1070" s="1" t="s">
        <v>3013</v>
      </c>
      <c r="AA1070" s="36">
        <v>0</v>
      </c>
      <c r="AB1070" s="54">
        <v>45.738</v>
      </c>
      <c r="AC1070" s="54">
        <v>3.3880000000000003</v>
      </c>
      <c r="AD1070" s="36">
        <v>76.460000000000008</v>
      </c>
    </row>
    <row r="1071" spans="1:30" s="37" customFormat="1" ht="15.75" customHeight="1" x14ac:dyDescent="0.2">
      <c r="A1071" s="26">
        <v>1113</v>
      </c>
      <c r="B1071" s="27" t="s">
        <v>2026</v>
      </c>
      <c r="C1071" s="27" t="s">
        <v>26</v>
      </c>
      <c r="D1071" s="28">
        <v>0.01</v>
      </c>
      <c r="E1071" s="29">
        <v>2.89</v>
      </c>
      <c r="F1071" s="29">
        <v>0.5</v>
      </c>
      <c r="G1071" s="30" t="s">
        <v>39</v>
      </c>
      <c r="H1071" s="27" t="s">
        <v>94</v>
      </c>
      <c r="I1071" s="27" t="s">
        <v>49</v>
      </c>
      <c r="J1071" s="27" t="s">
        <v>152</v>
      </c>
      <c r="K1071" s="27" t="s">
        <v>73</v>
      </c>
      <c r="L1071" s="31" t="s">
        <v>729</v>
      </c>
      <c r="M1071" s="32">
        <v>0.38</v>
      </c>
      <c r="N1071" s="27" t="s">
        <v>33</v>
      </c>
      <c r="O1071" s="27" t="s">
        <v>60</v>
      </c>
      <c r="P1071" s="27" t="s">
        <v>61</v>
      </c>
      <c r="Q1071" s="27" t="s">
        <v>2027</v>
      </c>
      <c r="R1071" s="33">
        <v>80004</v>
      </c>
      <c r="S1071" s="34">
        <v>42100</v>
      </c>
      <c r="T1071" s="34">
        <v>42101</v>
      </c>
      <c r="U1071" s="29">
        <v>29.725200000000001</v>
      </c>
      <c r="V1071" s="26">
        <v>14</v>
      </c>
      <c r="W1071" s="29">
        <v>43.08</v>
      </c>
      <c r="X1071" s="26">
        <v>90833</v>
      </c>
      <c r="Y1071" s="35">
        <v>300.94</v>
      </c>
      <c r="Z1071" s="1" t="s">
        <v>3013</v>
      </c>
      <c r="AA1071" s="36">
        <v>0.40460000000000002</v>
      </c>
      <c r="AB1071" s="54">
        <v>26.709599999999998</v>
      </c>
      <c r="AC1071" s="54">
        <v>1.1693142857142858</v>
      </c>
      <c r="AD1071" s="36">
        <v>12.450199999999999</v>
      </c>
    </row>
    <row r="1072" spans="1:30" s="37" customFormat="1" ht="15.75" customHeight="1" x14ac:dyDescent="0.2">
      <c r="A1072" s="26">
        <v>2874</v>
      </c>
      <c r="B1072" s="27" t="s">
        <v>2040</v>
      </c>
      <c r="C1072" s="27" t="s">
        <v>48</v>
      </c>
      <c r="D1072" s="28">
        <v>0.05</v>
      </c>
      <c r="E1072" s="29">
        <v>4.84</v>
      </c>
      <c r="F1072" s="29">
        <v>0.71</v>
      </c>
      <c r="G1072" s="30" t="s">
        <v>39</v>
      </c>
      <c r="H1072" s="27" t="s">
        <v>71</v>
      </c>
      <c r="I1072" s="27" t="s">
        <v>49</v>
      </c>
      <c r="J1072" s="27" t="s">
        <v>50</v>
      </c>
      <c r="K1072" s="27" t="s">
        <v>51</v>
      </c>
      <c r="L1072" s="31" t="s">
        <v>52</v>
      </c>
      <c r="M1072" s="32">
        <v>0.52</v>
      </c>
      <c r="N1072" s="27" t="s">
        <v>33</v>
      </c>
      <c r="O1072" s="27" t="s">
        <v>53</v>
      </c>
      <c r="P1072" s="27" t="s">
        <v>133</v>
      </c>
      <c r="Q1072" s="27" t="s">
        <v>2041</v>
      </c>
      <c r="R1072" s="33">
        <v>68128</v>
      </c>
      <c r="S1072" s="34">
        <v>42100</v>
      </c>
      <c r="T1072" s="34">
        <v>42109</v>
      </c>
      <c r="U1072" s="29">
        <v>13.4481</v>
      </c>
      <c r="V1072" s="26">
        <v>4</v>
      </c>
      <c r="W1072" s="29">
        <v>19.489999999999998</v>
      </c>
      <c r="X1072" s="26">
        <v>89873</v>
      </c>
      <c r="Y1072" s="35">
        <v>300.94</v>
      </c>
      <c r="Z1072" s="1" t="s">
        <v>3012</v>
      </c>
      <c r="AA1072" s="36">
        <v>0.96799999999999997</v>
      </c>
      <c r="AB1072" s="54">
        <v>9.3551999999999982</v>
      </c>
      <c r="AC1072" s="54">
        <v>2.5337000000000001</v>
      </c>
      <c r="AD1072" s="36">
        <v>4.3638999999999974</v>
      </c>
    </row>
    <row r="1073" spans="1:30" s="37" customFormat="1" ht="15.75" customHeight="1" x14ac:dyDescent="0.2">
      <c r="A1073" s="26">
        <v>925</v>
      </c>
      <c r="B1073" s="27" t="s">
        <v>2022</v>
      </c>
      <c r="C1073" s="27" t="s">
        <v>26</v>
      </c>
      <c r="D1073" s="28">
        <v>0.03</v>
      </c>
      <c r="E1073" s="29">
        <v>2.1800000000000002</v>
      </c>
      <c r="F1073" s="29">
        <v>1.38</v>
      </c>
      <c r="G1073" s="30" t="s">
        <v>39</v>
      </c>
      <c r="H1073" s="27" t="s">
        <v>3095</v>
      </c>
      <c r="I1073" s="27" t="s">
        <v>49</v>
      </c>
      <c r="J1073" s="27" t="s">
        <v>176</v>
      </c>
      <c r="K1073" s="27" t="s">
        <v>51</v>
      </c>
      <c r="L1073" s="31" t="s">
        <v>2023</v>
      </c>
      <c r="M1073" s="32">
        <v>0.44</v>
      </c>
      <c r="N1073" s="27" t="s">
        <v>33</v>
      </c>
      <c r="O1073" s="27" t="s">
        <v>111</v>
      </c>
      <c r="P1073" s="27" t="s">
        <v>331</v>
      </c>
      <c r="Q1073" s="27" t="s">
        <v>370</v>
      </c>
      <c r="R1073" s="33">
        <v>4330</v>
      </c>
      <c r="S1073" s="34">
        <v>42100</v>
      </c>
      <c r="T1073" s="34">
        <v>42100</v>
      </c>
      <c r="U1073" s="29">
        <v>-7.04</v>
      </c>
      <c r="V1073" s="26">
        <v>7</v>
      </c>
      <c r="W1073" s="29">
        <v>15.73</v>
      </c>
      <c r="X1073" s="26">
        <v>87134</v>
      </c>
      <c r="Y1073" s="35">
        <v>8.34</v>
      </c>
      <c r="Z1073" s="1" t="s">
        <v>3014</v>
      </c>
      <c r="AA1073" s="36">
        <v>0.45779999999999998</v>
      </c>
      <c r="AB1073" s="54">
        <v>8.8088000000000015</v>
      </c>
      <c r="AC1073" s="54">
        <v>0.98874285714285726</v>
      </c>
      <c r="AD1073" s="36">
        <v>20.932200000000002</v>
      </c>
    </row>
    <row r="1074" spans="1:30" s="37" customFormat="1" ht="15.75" customHeight="1" x14ac:dyDescent="0.2">
      <c r="A1074" s="26">
        <v>2196</v>
      </c>
      <c r="B1074" s="27" t="s">
        <v>2060</v>
      </c>
      <c r="C1074" s="27" t="s">
        <v>116</v>
      </c>
      <c r="D1074" s="28">
        <v>0.1</v>
      </c>
      <c r="E1074" s="29">
        <v>140.85</v>
      </c>
      <c r="F1074" s="29">
        <v>19.989999999999998</v>
      </c>
      <c r="G1074" s="30" t="s">
        <v>39</v>
      </c>
      <c r="H1074" s="27" t="s">
        <v>3095</v>
      </c>
      <c r="I1074" s="27" t="s">
        <v>49</v>
      </c>
      <c r="J1074" s="27" t="s">
        <v>78</v>
      </c>
      <c r="K1074" s="27" t="s">
        <v>73</v>
      </c>
      <c r="L1074" s="31" t="s">
        <v>2063</v>
      </c>
      <c r="M1074" s="32">
        <v>0.73</v>
      </c>
      <c r="N1074" s="27" t="s">
        <v>33</v>
      </c>
      <c r="O1074" s="27" t="s">
        <v>111</v>
      </c>
      <c r="P1074" s="27" t="s">
        <v>112</v>
      </c>
      <c r="Q1074" s="27" t="s">
        <v>2062</v>
      </c>
      <c r="R1074" s="33">
        <v>14701</v>
      </c>
      <c r="S1074" s="34">
        <v>42101</v>
      </c>
      <c r="T1074" s="34">
        <v>42103</v>
      </c>
      <c r="U1074" s="29">
        <v>9.9911999999999992</v>
      </c>
      <c r="V1074" s="26">
        <v>19</v>
      </c>
      <c r="W1074" s="29">
        <v>2465.75</v>
      </c>
      <c r="X1074" s="26">
        <v>89175</v>
      </c>
      <c r="Y1074" s="35">
        <v>65.89</v>
      </c>
      <c r="Z1074" s="1" t="s">
        <v>3014</v>
      </c>
      <c r="AA1074" s="36">
        <v>267.61500000000001</v>
      </c>
      <c r="AB1074" s="54">
        <v>665.75250000000005</v>
      </c>
      <c r="AC1074" s="54">
        <v>94.736710526315775</v>
      </c>
      <c r="AD1074" s="36">
        <v>2168.1538</v>
      </c>
    </row>
    <row r="1075" spans="1:30" s="37" customFormat="1" ht="15.75" customHeight="1" x14ac:dyDescent="0.2">
      <c r="A1075" s="26">
        <v>2196</v>
      </c>
      <c r="B1075" s="27" t="s">
        <v>2060</v>
      </c>
      <c r="C1075" s="27" t="s">
        <v>116</v>
      </c>
      <c r="D1075" s="28">
        <v>0.1</v>
      </c>
      <c r="E1075" s="29">
        <v>179.99</v>
      </c>
      <c r="F1075" s="29">
        <v>19.989999999999998</v>
      </c>
      <c r="G1075" s="30" t="s">
        <v>39</v>
      </c>
      <c r="H1075" s="27" t="s">
        <v>3095</v>
      </c>
      <c r="I1075" s="27" t="s">
        <v>41</v>
      </c>
      <c r="J1075" s="27" t="s">
        <v>42</v>
      </c>
      <c r="K1075" s="27" t="s">
        <v>73</v>
      </c>
      <c r="L1075" s="31" t="s">
        <v>715</v>
      </c>
      <c r="M1075" s="32">
        <v>0.48</v>
      </c>
      <c r="N1075" s="27" t="s">
        <v>33</v>
      </c>
      <c r="O1075" s="27" t="s">
        <v>111</v>
      </c>
      <c r="P1075" s="27" t="s">
        <v>112</v>
      </c>
      <c r="Q1075" s="27" t="s">
        <v>2062</v>
      </c>
      <c r="R1075" s="33">
        <v>14701</v>
      </c>
      <c r="S1075" s="34">
        <v>42101</v>
      </c>
      <c r="T1075" s="34">
        <v>42102</v>
      </c>
      <c r="U1075" s="29">
        <v>1208.9903999999999</v>
      </c>
      <c r="V1075" s="26">
        <v>14</v>
      </c>
      <c r="W1075" s="29">
        <v>2458.0500000000002</v>
      </c>
      <c r="X1075" s="26">
        <v>89175</v>
      </c>
      <c r="Y1075" s="35">
        <v>77.42</v>
      </c>
      <c r="Z1075" s="1" t="s">
        <v>3014</v>
      </c>
      <c r="AA1075" s="36">
        <v>251.98600000000005</v>
      </c>
      <c r="AB1075" s="54">
        <v>1278.1860000000001</v>
      </c>
      <c r="AC1075" s="54">
        <v>84.27600000000001</v>
      </c>
      <c r="AD1075" s="36">
        <v>977.08360000000016</v>
      </c>
    </row>
    <row r="1076" spans="1:30" s="37" customFormat="1" ht="15.75" customHeight="1" x14ac:dyDescent="0.2">
      <c r="A1076" s="26">
        <v>1413</v>
      </c>
      <c r="B1076" s="27" t="s">
        <v>938</v>
      </c>
      <c r="C1076" s="27" t="s">
        <v>116</v>
      </c>
      <c r="D1076" s="28">
        <v>0</v>
      </c>
      <c r="E1076" s="29">
        <v>65.989999999999995</v>
      </c>
      <c r="F1076" s="29">
        <v>5.26</v>
      </c>
      <c r="G1076" s="30" t="s">
        <v>39</v>
      </c>
      <c r="H1076" s="27" t="s">
        <v>94</v>
      </c>
      <c r="I1076" s="27" t="s">
        <v>41</v>
      </c>
      <c r="J1076" s="27" t="s">
        <v>135</v>
      </c>
      <c r="K1076" s="27" t="s">
        <v>73</v>
      </c>
      <c r="L1076" s="31" t="s">
        <v>2058</v>
      </c>
      <c r="M1076" s="32">
        <v>0.59</v>
      </c>
      <c r="N1076" s="27" t="s">
        <v>33</v>
      </c>
      <c r="O1076" s="27" t="s">
        <v>111</v>
      </c>
      <c r="P1076" s="27" t="s">
        <v>403</v>
      </c>
      <c r="Q1076" s="27" t="s">
        <v>788</v>
      </c>
      <c r="R1076" s="33">
        <v>2113</v>
      </c>
      <c r="S1076" s="34">
        <v>42101</v>
      </c>
      <c r="T1076" s="34">
        <v>42102</v>
      </c>
      <c r="U1076" s="29">
        <v>542.25</v>
      </c>
      <c r="V1076" s="26">
        <v>36</v>
      </c>
      <c r="W1076" s="29">
        <v>2144.92</v>
      </c>
      <c r="X1076" s="26">
        <v>10277</v>
      </c>
      <c r="Y1076" s="35">
        <v>5.5600000000000005</v>
      </c>
      <c r="Z1076" s="1" t="s">
        <v>3014</v>
      </c>
      <c r="AA1076" s="36">
        <v>0</v>
      </c>
      <c r="AB1076" s="54">
        <v>879.41720000000009</v>
      </c>
      <c r="AC1076" s="54">
        <v>35.152855555555554</v>
      </c>
      <c r="AD1076" s="36">
        <v>1597.41</v>
      </c>
    </row>
    <row r="1077" spans="1:30" s="37" customFormat="1" ht="15.75" customHeight="1" x14ac:dyDescent="0.2">
      <c r="A1077" s="26">
        <v>2073</v>
      </c>
      <c r="B1077" s="27" t="s">
        <v>2064</v>
      </c>
      <c r="C1077" s="27" t="s">
        <v>3094</v>
      </c>
      <c r="D1077" s="28">
        <v>0.05</v>
      </c>
      <c r="E1077" s="29">
        <v>291.73</v>
      </c>
      <c r="F1077" s="29">
        <v>48.8</v>
      </c>
      <c r="G1077" s="30" t="s">
        <v>27</v>
      </c>
      <c r="H1077" s="27" t="s">
        <v>40</v>
      </c>
      <c r="I1077" s="27" t="s">
        <v>29</v>
      </c>
      <c r="J1077" s="27" t="s">
        <v>109</v>
      </c>
      <c r="K1077" s="27" t="s">
        <v>58</v>
      </c>
      <c r="L1077" s="31" t="s">
        <v>110</v>
      </c>
      <c r="M1077" s="32">
        <v>0.56000000000000005</v>
      </c>
      <c r="N1077" s="27" t="s">
        <v>33</v>
      </c>
      <c r="O1077" s="27" t="s">
        <v>53</v>
      </c>
      <c r="P1077" s="27" t="s">
        <v>289</v>
      </c>
      <c r="Q1077" s="27" t="s">
        <v>2065</v>
      </c>
      <c r="R1077" s="33">
        <v>48135</v>
      </c>
      <c r="S1077" s="34">
        <v>42101</v>
      </c>
      <c r="T1077" s="34">
        <v>42103</v>
      </c>
      <c r="U1077" s="29">
        <v>550.38080000000002</v>
      </c>
      <c r="V1077" s="26">
        <v>6</v>
      </c>
      <c r="W1077" s="29">
        <v>1818.41</v>
      </c>
      <c r="X1077" s="26">
        <v>88557</v>
      </c>
      <c r="Y1077" s="35">
        <v>40.86</v>
      </c>
      <c r="Z1077" s="1" t="s">
        <v>3012</v>
      </c>
      <c r="AA1077" s="36">
        <v>87.519000000000005</v>
      </c>
      <c r="AB1077" s="54">
        <v>800.10039999999992</v>
      </c>
      <c r="AC1077" s="54">
        <v>169.71826666666669</v>
      </c>
      <c r="AD1077" s="36">
        <v>1131.7102</v>
      </c>
    </row>
    <row r="1078" spans="1:30" s="37" customFormat="1" ht="15.75" customHeight="1" x14ac:dyDescent="0.2">
      <c r="A1078" s="26">
        <v>698</v>
      </c>
      <c r="B1078" s="27" t="s">
        <v>1043</v>
      </c>
      <c r="C1078" s="27" t="s">
        <v>48</v>
      </c>
      <c r="D1078" s="28">
        <v>0.1</v>
      </c>
      <c r="E1078" s="29">
        <v>40.479999999999997</v>
      </c>
      <c r="F1078" s="29">
        <v>19.989999999999998</v>
      </c>
      <c r="G1078" s="30" t="s">
        <v>39</v>
      </c>
      <c r="H1078" s="27" t="s">
        <v>94</v>
      </c>
      <c r="I1078" s="27" t="s">
        <v>41</v>
      </c>
      <c r="J1078" s="27" t="s">
        <v>42</v>
      </c>
      <c r="K1078" s="27" t="s">
        <v>73</v>
      </c>
      <c r="L1078" s="31" t="s">
        <v>2054</v>
      </c>
      <c r="M1078" s="32">
        <v>0.77</v>
      </c>
      <c r="N1078" s="27" t="s">
        <v>33</v>
      </c>
      <c r="O1078" s="27" t="s">
        <v>60</v>
      </c>
      <c r="P1078" s="27" t="s">
        <v>67</v>
      </c>
      <c r="Q1078" s="27" t="s">
        <v>142</v>
      </c>
      <c r="R1078" s="33">
        <v>98105</v>
      </c>
      <c r="S1078" s="34">
        <v>42101</v>
      </c>
      <c r="T1078" s="34">
        <v>42103</v>
      </c>
      <c r="U1078" s="29">
        <v>-580.32000000000005</v>
      </c>
      <c r="V1078" s="26">
        <v>36</v>
      </c>
      <c r="W1078" s="29">
        <v>1423.35</v>
      </c>
      <c r="X1078" s="26">
        <v>8994</v>
      </c>
      <c r="Y1078" s="35">
        <v>5.5600000000000005</v>
      </c>
      <c r="Z1078" s="1" t="s">
        <v>3013</v>
      </c>
      <c r="AA1078" s="36">
        <v>145.72800000000001</v>
      </c>
      <c r="AB1078" s="54">
        <v>327.37049999999994</v>
      </c>
      <c r="AC1078" s="54">
        <v>30.443874999999995</v>
      </c>
      <c r="AD1078" s="36">
        <v>1837.952</v>
      </c>
    </row>
    <row r="1079" spans="1:30" s="37" customFormat="1" ht="15.75" customHeight="1" x14ac:dyDescent="0.2">
      <c r="A1079" s="26">
        <v>272</v>
      </c>
      <c r="B1079" s="27" t="s">
        <v>2053</v>
      </c>
      <c r="C1079" s="27" t="s">
        <v>48</v>
      </c>
      <c r="D1079" s="28">
        <v>0.03</v>
      </c>
      <c r="E1079" s="29">
        <v>40.89</v>
      </c>
      <c r="F1079" s="29">
        <v>18.98</v>
      </c>
      <c r="G1079" s="30" t="s">
        <v>39</v>
      </c>
      <c r="H1079" s="27" t="s">
        <v>71</v>
      </c>
      <c r="I1079" s="27" t="s">
        <v>29</v>
      </c>
      <c r="J1079" s="27" t="s">
        <v>126</v>
      </c>
      <c r="K1079" s="27" t="s">
        <v>73</v>
      </c>
      <c r="L1079" s="31" t="s">
        <v>2052</v>
      </c>
      <c r="M1079" s="32">
        <v>0.56999999999999995</v>
      </c>
      <c r="N1079" s="27" t="s">
        <v>33</v>
      </c>
      <c r="O1079" s="27" t="s">
        <v>34</v>
      </c>
      <c r="P1079" s="27" t="s">
        <v>97</v>
      </c>
      <c r="Q1079" s="27" t="s">
        <v>673</v>
      </c>
      <c r="R1079" s="33">
        <v>28204</v>
      </c>
      <c r="S1079" s="34">
        <v>42101</v>
      </c>
      <c r="T1079" s="34">
        <v>42108</v>
      </c>
      <c r="U1079" s="29">
        <v>52.916600000000003</v>
      </c>
      <c r="V1079" s="26">
        <v>21</v>
      </c>
      <c r="W1079" s="29">
        <v>885.23</v>
      </c>
      <c r="X1079" s="26">
        <v>5509</v>
      </c>
      <c r="Y1079" s="35">
        <v>40.86</v>
      </c>
      <c r="Z1079" s="1" t="s">
        <v>3011</v>
      </c>
      <c r="AA1079" s="36">
        <v>25.760699999999996</v>
      </c>
      <c r="AB1079" s="54">
        <v>380.64890000000003</v>
      </c>
      <c r="AC1079" s="54">
        <v>24.027671428571431</v>
      </c>
      <c r="AD1079" s="36">
        <v>787.57270000000005</v>
      </c>
    </row>
    <row r="1080" spans="1:30" s="37" customFormat="1" ht="15.75" customHeight="1" x14ac:dyDescent="0.2">
      <c r="A1080" s="26">
        <v>1410</v>
      </c>
      <c r="B1080" s="27" t="s">
        <v>2057</v>
      </c>
      <c r="C1080" s="27" t="s">
        <v>116</v>
      </c>
      <c r="D1080" s="28">
        <v>0</v>
      </c>
      <c r="E1080" s="29">
        <v>65.989999999999995</v>
      </c>
      <c r="F1080" s="29">
        <v>5.26</v>
      </c>
      <c r="G1080" s="30" t="s">
        <v>39</v>
      </c>
      <c r="H1080" s="27" t="s">
        <v>94</v>
      </c>
      <c r="I1080" s="27" t="s">
        <v>41</v>
      </c>
      <c r="J1080" s="27" t="s">
        <v>135</v>
      </c>
      <c r="K1080" s="27" t="s">
        <v>73</v>
      </c>
      <c r="L1080" s="31" t="s">
        <v>2058</v>
      </c>
      <c r="M1080" s="32">
        <v>0.59</v>
      </c>
      <c r="N1080" s="27" t="s">
        <v>33</v>
      </c>
      <c r="O1080" s="27" t="s">
        <v>60</v>
      </c>
      <c r="P1080" s="27" t="s">
        <v>90</v>
      </c>
      <c r="Q1080" s="27" t="s">
        <v>2059</v>
      </c>
      <c r="R1080" s="33">
        <v>92553</v>
      </c>
      <c r="S1080" s="34">
        <v>42101</v>
      </c>
      <c r="T1080" s="34">
        <v>42102</v>
      </c>
      <c r="U1080" s="29">
        <v>369.99869999999999</v>
      </c>
      <c r="V1080" s="26">
        <v>9</v>
      </c>
      <c r="W1080" s="29">
        <v>536.23</v>
      </c>
      <c r="X1080" s="26">
        <v>87086</v>
      </c>
      <c r="Y1080" s="35">
        <v>40.379999999999995</v>
      </c>
      <c r="Z1080" s="1" t="s">
        <v>3013</v>
      </c>
      <c r="AA1080" s="36">
        <v>0</v>
      </c>
      <c r="AB1080" s="54">
        <v>219.85430000000002</v>
      </c>
      <c r="AC1080" s="54">
        <v>35.152855555555554</v>
      </c>
      <c r="AD1080" s="36">
        <v>160.97130000000004</v>
      </c>
    </row>
    <row r="1081" spans="1:30" s="37" customFormat="1" ht="15.75" customHeight="1" x14ac:dyDescent="0.2">
      <c r="A1081" s="26">
        <v>696</v>
      </c>
      <c r="B1081" s="27" t="s">
        <v>1883</v>
      </c>
      <c r="C1081" s="27" t="s">
        <v>48</v>
      </c>
      <c r="D1081" s="28">
        <v>0.1</v>
      </c>
      <c r="E1081" s="29">
        <v>40.479999999999997</v>
      </c>
      <c r="F1081" s="29">
        <v>19.989999999999998</v>
      </c>
      <c r="G1081" s="30" t="s">
        <v>39</v>
      </c>
      <c r="H1081" s="27" t="s">
        <v>94</v>
      </c>
      <c r="I1081" s="27" t="s">
        <v>41</v>
      </c>
      <c r="J1081" s="27" t="s">
        <v>42</v>
      </c>
      <c r="K1081" s="27" t="s">
        <v>73</v>
      </c>
      <c r="L1081" s="31" t="s">
        <v>2054</v>
      </c>
      <c r="M1081" s="32">
        <v>0.77</v>
      </c>
      <c r="N1081" s="27" t="s">
        <v>33</v>
      </c>
      <c r="O1081" s="27" t="s">
        <v>53</v>
      </c>
      <c r="P1081" s="27" t="s">
        <v>54</v>
      </c>
      <c r="Q1081" s="27" t="s">
        <v>1884</v>
      </c>
      <c r="R1081" s="33">
        <v>46307</v>
      </c>
      <c r="S1081" s="34">
        <v>42101</v>
      </c>
      <c r="T1081" s="34">
        <v>42103</v>
      </c>
      <c r="U1081" s="29">
        <v>-580.32000000000005</v>
      </c>
      <c r="V1081" s="26">
        <v>9</v>
      </c>
      <c r="W1081" s="29">
        <v>355.84</v>
      </c>
      <c r="X1081" s="26">
        <v>89848</v>
      </c>
      <c r="Y1081" s="35">
        <v>40.379999999999995</v>
      </c>
      <c r="Z1081" s="1" t="s">
        <v>3012</v>
      </c>
      <c r="AA1081" s="36">
        <v>36.432000000000002</v>
      </c>
      <c r="AB1081" s="54">
        <v>81.843199999999982</v>
      </c>
      <c r="AC1081" s="54">
        <v>30.444088888888889</v>
      </c>
      <c r="AD1081" s="36">
        <v>879.73800000000006</v>
      </c>
    </row>
    <row r="1082" spans="1:30" s="37" customFormat="1" ht="15.75" customHeight="1" x14ac:dyDescent="0.2">
      <c r="A1082" s="26">
        <v>2196</v>
      </c>
      <c r="B1082" s="27" t="s">
        <v>2060</v>
      </c>
      <c r="C1082" s="27" t="s">
        <v>116</v>
      </c>
      <c r="D1082" s="28">
        <v>0.03</v>
      </c>
      <c r="E1082" s="29">
        <v>27.48</v>
      </c>
      <c r="F1082" s="29">
        <v>4</v>
      </c>
      <c r="G1082" s="30" t="s">
        <v>39</v>
      </c>
      <c r="H1082" s="27" t="s">
        <v>3095</v>
      </c>
      <c r="I1082" s="27" t="s">
        <v>41</v>
      </c>
      <c r="J1082" s="27" t="s">
        <v>42</v>
      </c>
      <c r="K1082" s="27" t="s">
        <v>73</v>
      </c>
      <c r="L1082" s="31" t="s">
        <v>2061</v>
      </c>
      <c r="M1082" s="32">
        <v>0.75</v>
      </c>
      <c r="N1082" s="27" t="s">
        <v>33</v>
      </c>
      <c r="O1082" s="27" t="s">
        <v>111</v>
      </c>
      <c r="P1082" s="27" t="s">
        <v>112</v>
      </c>
      <c r="Q1082" s="27" t="s">
        <v>2062</v>
      </c>
      <c r="R1082" s="33">
        <v>14701</v>
      </c>
      <c r="S1082" s="34">
        <v>42101</v>
      </c>
      <c r="T1082" s="34">
        <v>42102</v>
      </c>
      <c r="U1082" s="29">
        <v>-88.840800000000002</v>
      </c>
      <c r="V1082" s="26">
        <v>11</v>
      </c>
      <c r="W1082" s="29">
        <v>294.97000000000003</v>
      </c>
      <c r="X1082" s="26">
        <v>89175</v>
      </c>
      <c r="Y1082" s="35">
        <v>17.610000000000003</v>
      </c>
      <c r="Z1082" s="1" t="s">
        <v>3014</v>
      </c>
      <c r="AA1082" s="36">
        <v>9.0684000000000005</v>
      </c>
      <c r="AB1082" s="54">
        <v>73.742500000000007</v>
      </c>
      <c r="AC1082" s="54">
        <v>20.111590909090911</v>
      </c>
      <c r="AD1082" s="36">
        <v>370.74240000000003</v>
      </c>
    </row>
    <row r="1083" spans="1:30" s="37" customFormat="1" ht="15.75" customHeight="1" x14ac:dyDescent="0.2">
      <c r="A1083" s="26">
        <v>1730</v>
      </c>
      <c r="B1083" s="27" t="s">
        <v>2047</v>
      </c>
      <c r="C1083" s="27" t="s">
        <v>38</v>
      </c>
      <c r="D1083" s="28">
        <v>0.1</v>
      </c>
      <c r="E1083" s="29">
        <v>65.989999999999995</v>
      </c>
      <c r="F1083" s="29">
        <v>3.99</v>
      </c>
      <c r="G1083" s="30" t="s">
        <v>87</v>
      </c>
      <c r="H1083" s="27" t="s">
        <v>3095</v>
      </c>
      <c r="I1083" s="27" t="s">
        <v>41</v>
      </c>
      <c r="J1083" s="27" t="s">
        <v>135</v>
      </c>
      <c r="K1083" s="27" t="s">
        <v>73</v>
      </c>
      <c r="L1083" s="31" t="s">
        <v>1634</v>
      </c>
      <c r="M1083" s="32">
        <v>0.59</v>
      </c>
      <c r="N1083" s="27" t="s">
        <v>33</v>
      </c>
      <c r="O1083" s="27" t="s">
        <v>60</v>
      </c>
      <c r="P1083" s="27" t="s">
        <v>490</v>
      </c>
      <c r="Q1083" s="27" t="s">
        <v>1498</v>
      </c>
      <c r="R1083" s="33">
        <v>83843</v>
      </c>
      <c r="S1083" s="34">
        <v>42101</v>
      </c>
      <c r="T1083" s="34">
        <v>42103</v>
      </c>
      <c r="U1083" s="29">
        <v>-88.624799999999993</v>
      </c>
      <c r="V1083" s="26">
        <v>5</v>
      </c>
      <c r="W1083" s="29">
        <v>272.86</v>
      </c>
      <c r="X1083" s="26">
        <v>90653</v>
      </c>
      <c r="Y1083" s="35">
        <v>65.989999999999995</v>
      </c>
      <c r="Z1083" s="1" t="s">
        <v>3013</v>
      </c>
      <c r="AA1083" s="36">
        <v>32.995000000000005</v>
      </c>
      <c r="AB1083" s="54">
        <v>111.87260000000002</v>
      </c>
      <c r="AC1083" s="54">
        <v>32.197479999999999</v>
      </c>
      <c r="AD1083" s="36">
        <v>324.49979999999999</v>
      </c>
    </row>
    <row r="1084" spans="1:30" s="37" customFormat="1" ht="15.75" customHeight="1" x14ac:dyDescent="0.2">
      <c r="A1084" s="26">
        <v>268</v>
      </c>
      <c r="B1084" s="27" t="s">
        <v>2050</v>
      </c>
      <c r="C1084" s="27" t="s">
        <v>48</v>
      </c>
      <c r="D1084" s="28">
        <v>0.03</v>
      </c>
      <c r="E1084" s="29">
        <v>40.89</v>
      </c>
      <c r="F1084" s="29">
        <v>18.98</v>
      </c>
      <c r="G1084" s="30" t="s">
        <v>39</v>
      </c>
      <c r="H1084" s="27" t="s">
        <v>71</v>
      </c>
      <c r="I1084" s="27" t="s">
        <v>29</v>
      </c>
      <c r="J1084" s="27" t="s">
        <v>126</v>
      </c>
      <c r="K1084" s="27" t="s">
        <v>73</v>
      </c>
      <c r="L1084" s="31" t="s">
        <v>2052</v>
      </c>
      <c r="M1084" s="32">
        <v>0.56999999999999995</v>
      </c>
      <c r="N1084" s="27" t="s">
        <v>33</v>
      </c>
      <c r="O1084" s="27" t="s">
        <v>60</v>
      </c>
      <c r="P1084" s="27" t="s">
        <v>588</v>
      </c>
      <c r="Q1084" s="27" t="s">
        <v>2051</v>
      </c>
      <c r="R1084" s="33">
        <v>86001</v>
      </c>
      <c r="S1084" s="34">
        <v>42101</v>
      </c>
      <c r="T1084" s="34">
        <v>42108</v>
      </c>
      <c r="U1084" s="29">
        <v>78.98</v>
      </c>
      <c r="V1084" s="26">
        <v>5</v>
      </c>
      <c r="W1084" s="29">
        <v>210.77</v>
      </c>
      <c r="X1084" s="26">
        <v>88941</v>
      </c>
      <c r="Y1084" s="35">
        <v>65.989999999999995</v>
      </c>
      <c r="Z1084" s="1" t="s">
        <v>3013</v>
      </c>
      <c r="AA1084" s="36">
        <v>6.1334999999999997</v>
      </c>
      <c r="AB1084" s="54">
        <v>90.631100000000018</v>
      </c>
      <c r="AC1084" s="54">
        <v>24.02778</v>
      </c>
      <c r="AD1084" s="36">
        <v>106.6765</v>
      </c>
    </row>
    <row r="1085" spans="1:30" s="37" customFormat="1" ht="15.75" customHeight="1" x14ac:dyDescent="0.2">
      <c r="A1085" s="26">
        <v>2540</v>
      </c>
      <c r="B1085" s="27" t="s">
        <v>2069</v>
      </c>
      <c r="C1085" s="27" t="s">
        <v>3094</v>
      </c>
      <c r="D1085" s="28">
        <v>0.02</v>
      </c>
      <c r="E1085" s="29">
        <v>178.47</v>
      </c>
      <c r="F1085" s="29">
        <v>19.989999999999998</v>
      </c>
      <c r="G1085" s="30" t="s">
        <v>39</v>
      </c>
      <c r="H1085" s="27" t="s">
        <v>71</v>
      </c>
      <c r="I1085" s="27" t="s">
        <v>49</v>
      </c>
      <c r="J1085" s="27" t="s">
        <v>78</v>
      </c>
      <c r="K1085" s="27" t="s">
        <v>73</v>
      </c>
      <c r="L1085" s="31" t="s">
        <v>1011</v>
      </c>
      <c r="M1085" s="32">
        <v>0.55000000000000004</v>
      </c>
      <c r="N1085" s="27" t="s">
        <v>33</v>
      </c>
      <c r="O1085" s="27" t="s">
        <v>34</v>
      </c>
      <c r="P1085" s="27" t="s">
        <v>123</v>
      </c>
      <c r="Q1085" s="27" t="s">
        <v>2070</v>
      </c>
      <c r="R1085" s="33">
        <v>32708</v>
      </c>
      <c r="S1085" s="34">
        <v>42101</v>
      </c>
      <c r="T1085" s="34">
        <v>42102</v>
      </c>
      <c r="U1085" s="29">
        <v>106.98480000000001</v>
      </c>
      <c r="V1085" s="26">
        <v>1</v>
      </c>
      <c r="W1085" s="29">
        <v>193.81</v>
      </c>
      <c r="X1085" s="26">
        <v>91017</v>
      </c>
      <c r="Y1085" s="35">
        <v>27.45</v>
      </c>
      <c r="Z1085" s="1" t="s">
        <v>3011</v>
      </c>
      <c r="AA1085" s="36">
        <v>3.5693999999999999</v>
      </c>
      <c r="AB1085" s="54">
        <v>87.214499999999987</v>
      </c>
      <c r="AC1085" s="54">
        <v>106.59550000000002</v>
      </c>
      <c r="AD1085" s="36">
        <v>63.265800000000013</v>
      </c>
    </row>
    <row r="1086" spans="1:30" s="37" customFormat="1" ht="15.75" customHeight="1" x14ac:dyDescent="0.2">
      <c r="A1086" s="26">
        <v>1957</v>
      </c>
      <c r="B1086" s="27" t="s">
        <v>2048</v>
      </c>
      <c r="C1086" s="27" t="s">
        <v>38</v>
      </c>
      <c r="D1086" s="28">
        <v>0.09</v>
      </c>
      <c r="E1086" s="29">
        <v>77.510000000000005</v>
      </c>
      <c r="F1086" s="29">
        <v>4</v>
      </c>
      <c r="G1086" s="30" t="s">
        <v>39</v>
      </c>
      <c r="H1086" s="27" t="s">
        <v>40</v>
      </c>
      <c r="I1086" s="27" t="s">
        <v>41</v>
      </c>
      <c r="J1086" s="27" t="s">
        <v>42</v>
      </c>
      <c r="K1086" s="27" t="s">
        <v>73</v>
      </c>
      <c r="L1086" s="31" t="s">
        <v>2049</v>
      </c>
      <c r="M1086" s="32">
        <v>0.76</v>
      </c>
      <c r="N1086" s="27" t="s">
        <v>33</v>
      </c>
      <c r="O1086" s="27" t="s">
        <v>53</v>
      </c>
      <c r="P1086" s="27" t="s">
        <v>80</v>
      </c>
      <c r="Q1086" s="27" t="s">
        <v>1024</v>
      </c>
      <c r="R1086" s="33">
        <v>63130</v>
      </c>
      <c r="S1086" s="34">
        <v>42101</v>
      </c>
      <c r="T1086" s="34">
        <v>42103</v>
      </c>
      <c r="U1086" s="29">
        <v>-387.1044</v>
      </c>
      <c r="V1086" s="26">
        <v>1</v>
      </c>
      <c r="W1086" s="29">
        <v>77.47</v>
      </c>
      <c r="X1086" s="26">
        <v>89818</v>
      </c>
      <c r="Y1086" s="35">
        <v>179.89000000000001</v>
      </c>
      <c r="Z1086" s="1" t="s">
        <v>3012</v>
      </c>
      <c r="AA1086" s="36">
        <v>6.9759000000000002</v>
      </c>
      <c r="AB1086" s="54">
        <v>18.5928</v>
      </c>
      <c r="AC1086" s="54">
        <v>58.877200000000002</v>
      </c>
      <c r="AD1086" s="36">
        <v>453.59849999999994</v>
      </c>
    </row>
    <row r="1087" spans="1:30" s="37" customFormat="1" ht="15.75" customHeight="1" x14ac:dyDescent="0.2">
      <c r="A1087" s="26">
        <v>683</v>
      </c>
      <c r="B1087" s="27" t="s">
        <v>2055</v>
      </c>
      <c r="C1087" s="27" t="s">
        <v>116</v>
      </c>
      <c r="D1087" s="28">
        <v>0.06</v>
      </c>
      <c r="E1087" s="29">
        <v>17.670000000000002</v>
      </c>
      <c r="F1087" s="29">
        <v>8.99</v>
      </c>
      <c r="G1087" s="30" t="s">
        <v>87</v>
      </c>
      <c r="H1087" s="27" t="s">
        <v>3095</v>
      </c>
      <c r="I1087" s="27" t="s">
        <v>29</v>
      </c>
      <c r="J1087" s="27" t="s">
        <v>126</v>
      </c>
      <c r="K1087" s="27" t="s">
        <v>43</v>
      </c>
      <c r="L1087" s="31" t="s">
        <v>2056</v>
      </c>
      <c r="M1087" s="32">
        <v>0.47</v>
      </c>
      <c r="N1087" s="27" t="s">
        <v>33</v>
      </c>
      <c r="O1087" s="27" t="s">
        <v>53</v>
      </c>
      <c r="P1087" s="27" t="s">
        <v>133</v>
      </c>
      <c r="Q1087" s="27" t="s">
        <v>1589</v>
      </c>
      <c r="R1087" s="33">
        <v>68046</v>
      </c>
      <c r="S1087" s="34">
        <v>42101</v>
      </c>
      <c r="T1087" s="34">
        <v>42102</v>
      </c>
      <c r="U1087" s="29">
        <v>38.06</v>
      </c>
      <c r="V1087" s="26">
        <v>4</v>
      </c>
      <c r="W1087" s="29">
        <v>69.959999999999994</v>
      </c>
      <c r="X1087" s="26">
        <v>87765</v>
      </c>
      <c r="Y1087" s="35">
        <v>140.75</v>
      </c>
      <c r="Z1087" s="1" t="s">
        <v>3012</v>
      </c>
      <c r="AA1087" s="36">
        <v>4.2408000000000001</v>
      </c>
      <c r="AB1087" s="54">
        <v>37.078800000000001</v>
      </c>
      <c r="AC1087" s="54">
        <v>8.2202999999999982</v>
      </c>
      <c r="AD1087" s="36">
        <v>18.669199999999989</v>
      </c>
    </row>
    <row r="1088" spans="1:30" s="37" customFormat="1" ht="15.75" customHeight="1" x14ac:dyDescent="0.2">
      <c r="A1088" s="26">
        <v>272</v>
      </c>
      <c r="B1088" s="27" t="s">
        <v>2053</v>
      </c>
      <c r="C1088" s="27" t="s">
        <v>48</v>
      </c>
      <c r="D1088" s="28">
        <v>0.02</v>
      </c>
      <c r="E1088" s="29">
        <v>5.58</v>
      </c>
      <c r="F1088" s="29">
        <v>5.3</v>
      </c>
      <c r="G1088" s="30" t="s">
        <v>39</v>
      </c>
      <c r="H1088" s="27" t="s">
        <v>71</v>
      </c>
      <c r="I1088" s="27" t="s">
        <v>49</v>
      </c>
      <c r="J1088" s="27" t="s">
        <v>345</v>
      </c>
      <c r="K1088" s="27" t="s">
        <v>73</v>
      </c>
      <c r="L1088" s="31" t="s">
        <v>346</v>
      </c>
      <c r="M1088" s="32">
        <v>0.35</v>
      </c>
      <c r="N1088" s="27" t="s">
        <v>33</v>
      </c>
      <c r="O1088" s="27" t="s">
        <v>34</v>
      </c>
      <c r="P1088" s="27" t="s">
        <v>97</v>
      </c>
      <c r="Q1088" s="27" t="s">
        <v>673</v>
      </c>
      <c r="R1088" s="33">
        <v>28204</v>
      </c>
      <c r="S1088" s="34">
        <v>42101</v>
      </c>
      <c r="T1088" s="34">
        <v>42106</v>
      </c>
      <c r="U1088" s="29">
        <v>-29.898399999999999</v>
      </c>
      <c r="V1088" s="26">
        <v>11</v>
      </c>
      <c r="W1088" s="29">
        <v>68.459999999999994</v>
      </c>
      <c r="X1088" s="26">
        <v>5509</v>
      </c>
      <c r="Y1088" s="35">
        <v>291.68</v>
      </c>
      <c r="Z1088" s="1" t="s">
        <v>3011</v>
      </c>
      <c r="AA1088" s="36">
        <v>1.2276</v>
      </c>
      <c r="AB1088" s="54">
        <v>44.498999999999995</v>
      </c>
      <c r="AC1088" s="54">
        <v>2.1782727272727267</v>
      </c>
      <c r="AD1088" s="36">
        <v>91.830799999999996</v>
      </c>
    </row>
    <row r="1089" spans="1:30" s="37" customFormat="1" ht="15.75" customHeight="1" x14ac:dyDescent="0.2">
      <c r="A1089" s="26">
        <v>2539</v>
      </c>
      <c r="B1089" s="27" t="s">
        <v>2066</v>
      </c>
      <c r="C1089" s="27" t="s">
        <v>3094</v>
      </c>
      <c r="D1089" s="28">
        <v>0.08</v>
      </c>
      <c r="E1089" s="29">
        <v>12.53</v>
      </c>
      <c r="F1089" s="29">
        <v>0.5</v>
      </c>
      <c r="G1089" s="30" t="s">
        <v>39</v>
      </c>
      <c r="H1089" s="27" t="s">
        <v>71</v>
      </c>
      <c r="I1089" s="27" t="s">
        <v>49</v>
      </c>
      <c r="J1089" s="27" t="s">
        <v>152</v>
      </c>
      <c r="K1089" s="27" t="s">
        <v>73</v>
      </c>
      <c r="L1089" s="31" t="s">
        <v>2067</v>
      </c>
      <c r="M1089" s="32">
        <v>0.38</v>
      </c>
      <c r="N1089" s="27" t="s">
        <v>33</v>
      </c>
      <c r="O1089" s="27" t="s">
        <v>34</v>
      </c>
      <c r="P1089" s="27" t="s">
        <v>123</v>
      </c>
      <c r="Q1089" s="27" t="s">
        <v>2068</v>
      </c>
      <c r="R1089" s="33">
        <v>32789</v>
      </c>
      <c r="S1089" s="34">
        <v>42101</v>
      </c>
      <c r="T1089" s="34">
        <v>42102</v>
      </c>
      <c r="U1089" s="29">
        <v>215.71799999999999</v>
      </c>
      <c r="V1089" s="26">
        <v>5</v>
      </c>
      <c r="W1089" s="29">
        <v>61.1</v>
      </c>
      <c r="X1089" s="26">
        <v>91017</v>
      </c>
      <c r="Y1089" s="35">
        <v>12.45</v>
      </c>
      <c r="Z1089" s="1" t="s">
        <v>3011</v>
      </c>
      <c r="AA1089" s="36">
        <v>5.0119999999999996</v>
      </c>
      <c r="AB1089" s="54">
        <v>37.881999999999998</v>
      </c>
      <c r="AC1089" s="54">
        <v>4.6436000000000002</v>
      </c>
      <c r="AD1089" s="36">
        <v>-160.13</v>
      </c>
    </row>
    <row r="1090" spans="1:30" s="37" customFormat="1" ht="15.75" customHeight="1" x14ac:dyDescent="0.2">
      <c r="A1090" s="26">
        <v>268</v>
      </c>
      <c r="B1090" s="27" t="s">
        <v>2050</v>
      </c>
      <c r="C1090" s="27" t="s">
        <v>48</v>
      </c>
      <c r="D1090" s="28">
        <v>0.02</v>
      </c>
      <c r="E1090" s="29">
        <v>5.58</v>
      </c>
      <c r="F1090" s="29">
        <v>5.3</v>
      </c>
      <c r="G1090" s="30" t="s">
        <v>39</v>
      </c>
      <c r="H1090" s="27" t="s">
        <v>71</v>
      </c>
      <c r="I1090" s="27" t="s">
        <v>49</v>
      </c>
      <c r="J1090" s="27" t="s">
        <v>345</v>
      </c>
      <c r="K1090" s="27" t="s">
        <v>73</v>
      </c>
      <c r="L1090" s="31" t="s">
        <v>346</v>
      </c>
      <c r="M1090" s="32">
        <v>0.35</v>
      </c>
      <c r="N1090" s="27" t="s">
        <v>33</v>
      </c>
      <c r="O1090" s="27" t="s">
        <v>60</v>
      </c>
      <c r="P1090" s="27" t="s">
        <v>588</v>
      </c>
      <c r="Q1090" s="27" t="s">
        <v>2051</v>
      </c>
      <c r="R1090" s="33">
        <v>86001</v>
      </c>
      <c r="S1090" s="34">
        <v>42101</v>
      </c>
      <c r="T1090" s="34">
        <v>42106</v>
      </c>
      <c r="U1090" s="29">
        <v>-22.48</v>
      </c>
      <c r="V1090" s="26">
        <v>3</v>
      </c>
      <c r="W1090" s="29">
        <v>18.670000000000002</v>
      </c>
      <c r="X1090" s="26">
        <v>88941</v>
      </c>
      <c r="Y1090" s="35">
        <v>178.45</v>
      </c>
      <c r="Z1090" s="1" t="s">
        <v>3013</v>
      </c>
      <c r="AA1090" s="36">
        <v>0.33479999999999999</v>
      </c>
      <c r="AB1090" s="54">
        <v>12.135500000000002</v>
      </c>
      <c r="AC1090" s="54">
        <v>2.1781666666666668</v>
      </c>
      <c r="AD1090" s="36">
        <v>35.5152</v>
      </c>
    </row>
    <row r="1091" spans="1:30" s="37" customFormat="1" ht="15.75" customHeight="1" x14ac:dyDescent="0.2">
      <c r="A1091" s="26">
        <v>2699</v>
      </c>
      <c r="B1091" s="27" t="s">
        <v>2089</v>
      </c>
      <c r="C1091" s="27" t="s">
        <v>3094</v>
      </c>
      <c r="D1091" s="28">
        <v>0.04</v>
      </c>
      <c r="E1091" s="29">
        <v>70.98</v>
      </c>
      <c r="F1091" s="29">
        <v>26.74</v>
      </c>
      <c r="G1091" s="30" t="s">
        <v>27</v>
      </c>
      <c r="H1091" s="27" t="s">
        <v>94</v>
      </c>
      <c r="I1091" s="27" t="s">
        <v>29</v>
      </c>
      <c r="J1091" s="27" t="s">
        <v>117</v>
      </c>
      <c r="K1091" s="27" t="s">
        <v>31</v>
      </c>
      <c r="L1091" s="31" t="s">
        <v>2090</v>
      </c>
      <c r="M1091" s="32">
        <v>0.6</v>
      </c>
      <c r="N1091" s="27" t="s">
        <v>33</v>
      </c>
      <c r="O1091" s="27" t="s">
        <v>60</v>
      </c>
      <c r="P1091" s="27" t="s">
        <v>588</v>
      </c>
      <c r="Q1091" s="27" t="s">
        <v>2091</v>
      </c>
      <c r="R1091" s="33">
        <v>86442</v>
      </c>
      <c r="S1091" s="34">
        <v>42102</v>
      </c>
      <c r="T1091" s="34">
        <v>42104</v>
      </c>
      <c r="U1091" s="29">
        <v>-84.628799999999998</v>
      </c>
      <c r="V1091" s="26">
        <v>19</v>
      </c>
      <c r="W1091" s="29">
        <v>1345.33</v>
      </c>
      <c r="X1091" s="26">
        <v>87679</v>
      </c>
      <c r="Y1091" s="35">
        <v>4.42</v>
      </c>
      <c r="Z1091" s="1" t="s">
        <v>3013</v>
      </c>
      <c r="AA1091" s="36">
        <v>53.944800000000008</v>
      </c>
      <c r="AB1091" s="54">
        <v>538.13199999999995</v>
      </c>
      <c r="AC1091" s="54">
        <v>42.484105263157893</v>
      </c>
      <c r="AD1091" s="36">
        <v>1349.2739999999999</v>
      </c>
    </row>
    <row r="1092" spans="1:30" s="37" customFormat="1" ht="15.75" customHeight="1" x14ac:dyDescent="0.2">
      <c r="A1092" s="26">
        <v>1018</v>
      </c>
      <c r="B1092" s="27" t="s">
        <v>2082</v>
      </c>
      <c r="C1092" s="27" t="s">
        <v>116</v>
      </c>
      <c r="D1092" s="28">
        <v>0.05</v>
      </c>
      <c r="E1092" s="29">
        <v>35.89</v>
      </c>
      <c r="F1092" s="29">
        <v>14.72</v>
      </c>
      <c r="G1092" s="30" t="s">
        <v>39</v>
      </c>
      <c r="H1092" s="27" t="s">
        <v>71</v>
      </c>
      <c r="I1092" s="27" t="s">
        <v>49</v>
      </c>
      <c r="J1092" s="27" t="s">
        <v>345</v>
      </c>
      <c r="K1092" s="27" t="s">
        <v>73</v>
      </c>
      <c r="L1092" s="31" t="s">
        <v>2083</v>
      </c>
      <c r="M1092" s="32">
        <v>0.4</v>
      </c>
      <c r="N1092" s="27" t="s">
        <v>33</v>
      </c>
      <c r="O1092" s="27" t="s">
        <v>34</v>
      </c>
      <c r="P1092" s="27" t="s">
        <v>97</v>
      </c>
      <c r="Q1092" s="27" t="s">
        <v>2084</v>
      </c>
      <c r="R1092" s="33">
        <v>27511</v>
      </c>
      <c r="S1092" s="34">
        <v>42102</v>
      </c>
      <c r="T1092" s="34">
        <v>42103</v>
      </c>
      <c r="U1092" s="29">
        <v>22.866</v>
      </c>
      <c r="V1092" s="26">
        <v>19</v>
      </c>
      <c r="W1092" s="29">
        <v>680.39</v>
      </c>
      <c r="X1092" s="26">
        <v>88391</v>
      </c>
      <c r="Y1092" s="35">
        <v>42.97</v>
      </c>
      <c r="Z1092" s="1" t="s">
        <v>3011</v>
      </c>
      <c r="AA1092" s="36">
        <v>34.095500000000001</v>
      </c>
      <c r="AB1092" s="54">
        <v>408.23399999999998</v>
      </c>
      <c r="AC1092" s="54">
        <v>14.324000000000002</v>
      </c>
      <c r="AD1092" s="36">
        <v>608.70849999999996</v>
      </c>
    </row>
    <row r="1093" spans="1:30" s="37" customFormat="1" ht="15.75" customHeight="1" x14ac:dyDescent="0.2">
      <c r="A1093" s="26">
        <v>1614</v>
      </c>
      <c r="B1093" s="27" t="s">
        <v>2079</v>
      </c>
      <c r="C1093" s="27" t="s">
        <v>48</v>
      </c>
      <c r="D1093" s="28">
        <v>0.06</v>
      </c>
      <c r="E1093" s="29">
        <v>40.97</v>
      </c>
      <c r="F1093" s="29">
        <v>1.99</v>
      </c>
      <c r="G1093" s="30" t="s">
        <v>39</v>
      </c>
      <c r="H1093" s="27" t="s">
        <v>40</v>
      </c>
      <c r="I1093" s="27" t="s">
        <v>41</v>
      </c>
      <c r="J1093" s="27" t="s">
        <v>42</v>
      </c>
      <c r="K1093" s="27" t="s">
        <v>43</v>
      </c>
      <c r="L1093" s="31" t="s">
        <v>2080</v>
      </c>
      <c r="M1093" s="32">
        <v>0.42</v>
      </c>
      <c r="N1093" s="27" t="s">
        <v>33</v>
      </c>
      <c r="O1093" s="27" t="s">
        <v>111</v>
      </c>
      <c r="P1093" s="27" t="s">
        <v>403</v>
      </c>
      <c r="Q1093" s="27" t="s">
        <v>2081</v>
      </c>
      <c r="R1093" s="33">
        <v>1748</v>
      </c>
      <c r="S1093" s="34">
        <v>42102</v>
      </c>
      <c r="T1093" s="34">
        <v>42106</v>
      </c>
      <c r="U1093" s="29">
        <v>341.19810000000001</v>
      </c>
      <c r="V1093" s="26">
        <v>12</v>
      </c>
      <c r="W1093" s="29">
        <v>494.49</v>
      </c>
      <c r="X1093" s="26">
        <v>87823</v>
      </c>
      <c r="Y1093" s="35">
        <v>2.87</v>
      </c>
      <c r="Z1093" s="1" t="s">
        <v>3014</v>
      </c>
      <c r="AA1093" s="36">
        <v>29.498399999999997</v>
      </c>
      <c r="AB1093" s="54">
        <v>286.80420000000004</v>
      </c>
      <c r="AC1093" s="54">
        <v>17.30715</v>
      </c>
      <c r="AD1093" s="36">
        <v>121.80349999999999</v>
      </c>
    </row>
    <row r="1094" spans="1:30" s="37" customFormat="1" ht="15.75" customHeight="1" x14ac:dyDescent="0.2">
      <c r="A1094" s="26">
        <v>1935</v>
      </c>
      <c r="B1094" s="27" t="s">
        <v>2074</v>
      </c>
      <c r="C1094" s="27" t="s">
        <v>26</v>
      </c>
      <c r="D1094" s="28">
        <v>0.01</v>
      </c>
      <c r="E1094" s="29">
        <v>42.98</v>
      </c>
      <c r="F1094" s="29">
        <v>4.62</v>
      </c>
      <c r="G1094" s="30" t="s">
        <v>87</v>
      </c>
      <c r="H1094" s="27" t="s">
        <v>94</v>
      </c>
      <c r="I1094" s="27" t="s">
        <v>49</v>
      </c>
      <c r="J1094" s="27" t="s">
        <v>95</v>
      </c>
      <c r="K1094" s="27" t="s">
        <v>73</v>
      </c>
      <c r="L1094" s="31" t="s">
        <v>280</v>
      </c>
      <c r="M1094" s="32">
        <v>0.56000000000000005</v>
      </c>
      <c r="N1094" s="27" t="s">
        <v>33</v>
      </c>
      <c r="O1094" s="27" t="s">
        <v>53</v>
      </c>
      <c r="P1094" s="27" t="s">
        <v>187</v>
      </c>
      <c r="Q1094" s="27" t="s">
        <v>2075</v>
      </c>
      <c r="R1094" s="33">
        <v>75051</v>
      </c>
      <c r="S1094" s="34">
        <v>42102</v>
      </c>
      <c r="T1094" s="34">
        <v>42104</v>
      </c>
      <c r="U1094" s="29">
        <v>285.47370000000001</v>
      </c>
      <c r="V1094" s="26">
        <v>9</v>
      </c>
      <c r="W1094" s="29">
        <v>413.73</v>
      </c>
      <c r="X1094" s="26">
        <v>86686</v>
      </c>
      <c r="Y1094" s="35">
        <v>35.39</v>
      </c>
      <c r="Z1094" s="1" t="s">
        <v>3012</v>
      </c>
      <c r="AA1094" s="36">
        <v>3.8681999999999999</v>
      </c>
      <c r="AB1094" s="54">
        <v>182.04119999999998</v>
      </c>
      <c r="AC1094" s="54">
        <v>25.743200000000002</v>
      </c>
      <c r="AD1094" s="36">
        <v>119.7681</v>
      </c>
    </row>
    <row r="1095" spans="1:30" s="37" customFormat="1" ht="15.75" customHeight="1" x14ac:dyDescent="0.2">
      <c r="A1095" s="26">
        <v>3098</v>
      </c>
      <c r="B1095" s="27" t="s">
        <v>1420</v>
      </c>
      <c r="C1095" s="27" t="s">
        <v>26</v>
      </c>
      <c r="D1095" s="28">
        <v>0.05</v>
      </c>
      <c r="E1095" s="29">
        <v>35.44</v>
      </c>
      <c r="F1095" s="29">
        <v>5.09</v>
      </c>
      <c r="G1095" s="30" t="s">
        <v>39</v>
      </c>
      <c r="H1095" s="27" t="s">
        <v>40</v>
      </c>
      <c r="I1095" s="27" t="s">
        <v>49</v>
      </c>
      <c r="J1095" s="27" t="s">
        <v>88</v>
      </c>
      <c r="K1095" s="27" t="s">
        <v>73</v>
      </c>
      <c r="L1095" s="31" t="s">
        <v>2078</v>
      </c>
      <c r="M1095" s="32">
        <v>0.38</v>
      </c>
      <c r="N1095" s="27" t="s">
        <v>33</v>
      </c>
      <c r="O1095" s="27" t="s">
        <v>111</v>
      </c>
      <c r="P1095" s="27" t="s">
        <v>112</v>
      </c>
      <c r="Q1095" s="27" t="s">
        <v>1421</v>
      </c>
      <c r="R1095" s="33">
        <v>11967</v>
      </c>
      <c r="S1095" s="34">
        <v>42102</v>
      </c>
      <c r="T1095" s="34">
        <v>42103</v>
      </c>
      <c r="U1095" s="29">
        <v>240.17519999999999</v>
      </c>
      <c r="V1095" s="26">
        <v>10</v>
      </c>
      <c r="W1095" s="29">
        <v>348.08</v>
      </c>
      <c r="X1095" s="26">
        <v>89314</v>
      </c>
      <c r="Y1095" s="35">
        <v>40.909999999999997</v>
      </c>
      <c r="Z1095" s="1" t="s">
        <v>3014</v>
      </c>
      <c r="AA1095" s="36">
        <v>17.72</v>
      </c>
      <c r="AB1095" s="54">
        <v>215.80959999999999</v>
      </c>
      <c r="AC1095" s="54">
        <v>13.227040000000001</v>
      </c>
      <c r="AD1095" s="36">
        <v>85.094800000000021</v>
      </c>
    </row>
    <row r="1096" spans="1:30" s="37" customFormat="1" ht="15.75" customHeight="1" x14ac:dyDescent="0.2">
      <c r="A1096" s="26">
        <v>2561</v>
      </c>
      <c r="B1096" s="27" t="s">
        <v>1798</v>
      </c>
      <c r="C1096" s="27" t="s">
        <v>3094</v>
      </c>
      <c r="D1096" s="28">
        <v>7.0000000000000007E-2</v>
      </c>
      <c r="E1096" s="29">
        <v>12.22</v>
      </c>
      <c r="F1096" s="29">
        <v>2.85</v>
      </c>
      <c r="G1096" s="30" t="s">
        <v>39</v>
      </c>
      <c r="H1096" s="27" t="s">
        <v>40</v>
      </c>
      <c r="I1096" s="27" t="s">
        <v>29</v>
      </c>
      <c r="J1096" s="27" t="s">
        <v>126</v>
      </c>
      <c r="K1096" s="27" t="s">
        <v>43</v>
      </c>
      <c r="L1096" s="31" t="s">
        <v>2086</v>
      </c>
      <c r="M1096" s="32">
        <v>0.55000000000000004</v>
      </c>
      <c r="N1096" s="27" t="s">
        <v>33</v>
      </c>
      <c r="O1096" s="27" t="s">
        <v>111</v>
      </c>
      <c r="P1096" s="27" t="s">
        <v>112</v>
      </c>
      <c r="Q1096" s="27" t="s">
        <v>1799</v>
      </c>
      <c r="R1096" s="33">
        <v>10562</v>
      </c>
      <c r="S1096" s="34">
        <v>42102</v>
      </c>
      <c r="T1096" s="34">
        <v>42102</v>
      </c>
      <c r="U1096" s="29">
        <v>89.4148</v>
      </c>
      <c r="V1096" s="26">
        <v>12</v>
      </c>
      <c r="W1096" s="29">
        <v>147.19</v>
      </c>
      <c r="X1096" s="26">
        <v>86466</v>
      </c>
      <c r="Y1096" s="35">
        <v>35.840000000000003</v>
      </c>
      <c r="Z1096" s="1" t="s">
        <v>3014</v>
      </c>
      <c r="AA1096" s="36">
        <v>10.264800000000001</v>
      </c>
      <c r="AB1096" s="54">
        <v>66.235499999999988</v>
      </c>
      <c r="AC1096" s="54">
        <v>6.7462083333333336</v>
      </c>
      <c r="AD1096" s="36">
        <v>44.66040000000001</v>
      </c>
    </row>
    <row r="1097" spans="1:30" s="37" customFormat="1" ht="15.75" customHeight="1" x14ac:dyDescent="0.2">
      <c r="A1097" s="26">
        <v>1018</v>
      </c>
      <c r="B1097" s="27" t="s">
        <v>2082</v>
      </c>
      <c r="C1097" s="27" t="s">
        <v>116</v>
      </c>
      <c r="D1097" s="28">
        <v>0</v>
      </c>
      <c r="E1097" s="29">
        <v>11.48</v>
      </c>
      <c r="F1097" s="29">
        <v>5.43</v>
      </c>
      <c r="G1097" s="30" t="s">
        <v>39</v>
      </c>
      <c r="H1097" s="27" t="s">
        <v>71</v>
      </c>
      <c r="I1097" s="27" t="s">
        <v>49</v>
      </c>
      <c r="J1097" s="27" t="s">
        <v>88</v>
      </c>
      <c r="K1097" s="27" t="s">
        <v>73</v>
      </c>
      <c r="L1097" s="31" t="s">
        <v>2085</v>
      </c>
      <c r="M1097" s="32">
        <v>0.36</v>
      </c>
      <c r="N1097" s="27" t="s">
        <v>33</v>
      </c>
      <c r="O1097" s="27" t="s">
        <v>34</v>
      </c>
      <c r="P1097" s="27" t="s">
        <v>97</v>
      </c>
      <c r="Q1097" s="27" t="s">
        <v>2084</v>
      </c>
      <c r="R1097" s="33">
        <v>27511</v>
      </c>
      <c r="S1097" s="34">
        <v>42102</v>
      </c>
      <c r="T1097" s="34">
        <v>42102</v>
      </c>
      <c r="U1097" s="29">
        <v>115.72799999999999</v>
      </c>
      <c r="V1097" s="26">
        <v>6</v>
      </c>
      <c r="W1097" s="29">
        <v>75.52</v>
      </c>
      <c r="X1097" s="26">
        <v>88391</v>
      </c>
      <c r="Y1097" s="35">
        <v>11.48</v>
      </c>
      <c r="Z1097" s="1" t="s">
        <v>3011</v>
      </c>
      <c r="AA1097" s="36">
        <v>0</v>
      </c>
      <c r="AB1097" s="54">
        <v>48.332799999999999</v>
      </c>
      <c r="AC1097" s="54">
        <v>4.5311999999999992</v>
      </c>
      <c r="AD1097" s="36">
        <v>-45.637999999999991</v>
      </c>
    </row>
    <row r="1098" spans="1:30" s="37" customFormat="1" ht="15.75" customHeight="1" x14ac:dyDescent="0.2">
      <c r="A1098" s="26">
        <v>2563</v>
      </c>
      <c r="B1098" s="27" t="s">
        <v>2087</v>
      </c>
      <c r="C1098" s="27" t="s">
        <v>3094</v>
      </c>
      <c r="D1098" s="28">
        <v>0.08</v>
      </c>
      <c r="E1098" s="29">
        <v>4.55</v>
      </c>
      <c r="F1098" s="29">
        <v>1.49</v>
      </c>
      <c r="G1098" s="30" t="s">
        <v>39</v>
      </c>
      <c r="H1098" s="27" t="s">
        <v>71</v>
      </c>
      <c r="I1098" s="27" t="s">
        <v>49</v>
      </c>
      <c r="J1098" s="27" t="s">
        <v>72</v>
      </c>
      <c r="K1098" s="27" t="s">
        <v>73</v>
      </c>
      <c r="L1098" s="31" t="s">
        <v>1503</v>
      </c>
      <c r="M1098" s="32">
        <v>0.35</v>
      </c>
      <c r="N1098" s="27" t="s">
        <v>33</v>
      </c>
      <c r="O1098" s="27" t="s">
        <v>53</v>
      </c>
      <c r="P1098" s="27" t="s">
        <v>84</v>
      </c>
      <c r="Q1098" s="27" t="s">
        <v>2088</v>
      </c>
      <c r="R1098" s="33">
        <v>55432</v>
      </c>
      <c r="S1098" s="34">
        <v>42102</v>
      </c>
      <c r="T1098" s="34">
        <v>42103</v>
      </c>
      <c r="U1098" s="29">
        <v>27.0273</v>
      </c>
      <c r="V1098" s="26">
        <v>9</v>
      </c>
      <c r="W1098" s="29">
        <v>39.17</v>
      </c>
      <c r="X1098" s="26">
        <v>91447</v>
      </c>
      <c r="Y1098" s="35">
        <v>3.91</v>
      </c>
      <c r="Z1098" s="1" t="s">
        <v>3012</v>
      </c>
      <c r="AA1098" s="36">
        <v>3.2759999999999998</v>
      </c>
      <c r="AB1098" s="54">
        <v>25.460500000000003</v>
      </c>
      <c r="AC1098" s="54">
        <v>1.5232777777777777</v>
      </c>
      <c r="AD1098" s="36">
        <v>7.3767000000000031</v>
      </c>
    </row>
    <row r="1099" spans="1:30" s="37" customFormat="1" ht="15.75" customHeight="1" x14ac:dyDescent="0.2">
      <c r="A1099" s="26">
        <v>15</v>
      </c>
      <c r="B1099" s="27" t="s">
        <v>2071</v>
      </c>
      <c r="C1099" s="27" t="s">
        <v>26</v>
      </c>
      <c r="D1099" s="28">
        <v>0</v>
      </c>
      <c r="E1099" s="29">
        <v>4.42</v>
      </c>
      <c r="F1099" s="29">
        <v>4.99</v>
      </c>
      <c r="G1099" s="30" t="s">
        <v>39</v>
      </c>
      <c r="H1099" s="27" t="s">
        <v>3095</v>
      </c>
      <c r="I1099" s="27" t="s">
        <v>49</v>
      </c>
      <c r="J1099" s="27" t="s">
        <v>345</v>
      </c>
      <c r="K1099" s="27" t="s">
        <v>73</v>
      </c>
      <c r="L1099" s="31" t="s">
        <v>2072</v>
      </c>
      <c r="M1099" s="32">
        <v>0.38</v>
      </c>
      <c r="N1099" s="27" t="s">
        <v>33</v>
      </c>
      <c r="O1099" s="27" t="s">
        <v>111</v>
      </c>
      <c r="P1099" s="27" t="s">
        <v>112</v>
      </c>
      <c r="Q1099" s="27" t="s">
        <v>2073</v>
      </c>
      <c r="R1099" s="33">
        <v>11787</v>
      </c>
      <c r="S1099" s="34">
        <v>42102</v>
      </c>
      <c r="T1099" s="34">
        <v>42103</v>
      </c>
      <c r="U1099" s="29">
        <v>-59.82</v>
      </c>
      <c r="V1099" s="26">
        <v>7</v>
      </c>
      <c r="W1099" s="29">
        <v>33.47</v>
      </c>
      <c r="X1099" s="26">
        <v>86837</v>
      </c>
      <c r="Y1099" s="35">
        <v>12.15</v>
      </c>
      <c r="Z1099" s="1" t="s">
        <v>3014</v>
      </c>
      <c r="AA1099" s="36">
        <v>0</v>
      </c>
      <c r="AB1099" s="54">
        <v>20.7514</v>
      </c>
      <c r="AC1099" s="54">
        <v>1.816942857142857</v>
      </c>
      <c r="AD1099" s="36">
        <v>88.3</v>
      </c>
    </row>
    <row r="1100" spans="1:30" s="37" customFormat="1" ht="15.75" customHeight="1" x14ac:dyDescent="0.2">
      <c r="A1100" s="26">
        <v>2655</v>
      </c>
      <c r="B1100" s="27" t="s">
        <v>2076</v>
      </c>
      <c r="C1100" s="27" t="s">
        <v>26</v>
      </c>
      <c r="D1100" s="28">
        <v>7.0000000000000007E-2</v>
      </c>
      <c r="E1100" s="29">
        <v>2.94</v>
      </c>
      <c r="F1100" s="29">
        <v>0.81</v>
      </c>
      <c r="G1100" s="30" t="s">
        <v>39</v>
      </c>
      <c r="H1100" s="27" t="s">
        <v>94</v>
      </c>
      <c r="I1100" s="27" t="s">
        <v>49</v>
      </c>
      <c r="J1100" s="27" t="s">
        <v>50</v>
      </c>
      <c r="K1100" s="27" t="s">
        <v>51</v>
      </c>
      <c r="L1100" s="31" t="s">
        <v>2077</v>
      </c>
      <c r="M1100" s="32">
        <v>0.4</v>
      </c>
      <c r="N1100" s="27" t="s">
        <v>33</v>
      </c>
      <c r="O1100" s="27" t="s">
        <v>34</v>
      </c>
      <c r="P1100" s="27" t="s">
        <v>75</v>
      </c>
      <c r="Q1100" s="27" t="s">
        <v>361</v>
      </c>
      <c r="R1100" s="33">
        <v>30318</v>
      </c>
      <c r="S1100" s="34">
        <v>42102</v>
      </c>
      <c r="T1100" s="34">
        <v>42103</v>
      </c>
      <c r="U1100" s="29">
        <v>-93.927400000000006</v>
      </c>
      <c r="V1100" s="26">
        <v>10</v>
      </c>
      <c r="W1100" s="29">
        <v>29.88</v>
      </c>
      <c r="X1100" s="26">
        <v>86064</v>
      </c>
      <c r="Y1100" s="35">
        <v>4.47</v>
      </c>
      <c r="Z1100" s="1" t="s">
        <v>3011</v>
      </c>
      <c r="AA1100" s="36">
        <v>2.0580000000000003</v>
      </c>
      <c r="AB1100" s="54">
        <v>17.927999999999997</v>
      </c>
      <c r="AC1100" s="54">
        <v>1.1952</v>
      </c>
      <c r="AD1100" s="36">
        <v>120.93939999999999</v>
      </c>
    </row>
    <row r="1101" spans="1:30" s="37" customFormat="1" ht="15.75" customHeight="1" x14ac:dyDescent="0.2">
      <c r="A1101" s="26">
        <v>2561</v>
      </c>
      <c r="B1101" s="27" t="s">
        <v>1798</v>
      </c>
      <c r="C1101" s="27" t="s">
        <v>3094</v>
      </c>
      <c r="D1101" s="28">
        <v>7.0000000000000007E-2</v>
      </c>
      <c r="E1101" s="29">
        <v>3.98</v>
      </c>
      <c r="F1101" s="29">
        <v>5.26</v>
      </c>
      <c r="G1101" s="30" t="s">
        <v>39</v>
      </c>
      <c r="H1101" s="27" t="s">
        <v>40</v>
      </c>
      <c r="I1101" s="27" t="s">
        <v>49</v>
      </c>
      <c r="J1101" s="27" t="s">
        <v>72</v>
      </c>
      <c r="K1101" s="27" t="s">
        <v>73</v>
      </c>
      <c r="L1101" s="31" t="s">
        <v>1855</v>
      </c>
      <c r="M1101" s="32">
        <v>0.38</v>
      </c>
      <c r="N1101" s="27" t="s">
        <v>33</v>
      </c>
      <c r="O1101" s="27" t="s">
        <v>111</v>
      </c>
      <c r="P1101" s="27" t="s">
        <v>112</v>
      </c>
      <c r="Q1101" s="27" t="s">
        <v>1799</v>
      </c>
      <c r="R1101" s="33">
        <v>10562</v>
      </c>
      <c r="S1101" s="34">
        <v>42102</v>
      </c>
      <c r="T1101" s="34">
        <v>42104</v>
      </c>
      <c r="U1101" s="29">
        <v>-59.963760000000001</v>
      </c>
      <c r="V1101" s="26">
        <v>7</v>
      </c>
      <c r="W1101" s="29">
        <v>29.77</v>
      </c>
      <c r="X1101" s="26">
        <v>86466</v>
      </c>
      <c r="Y1101" s="35">
        <v>70.94</v>
      </c>
      <c r="Z1101" s="1" t="s">
        <v>3014</v>
      </c>
      <c r="AA1101" s="36">
        <v>1.9502000000000002</v>
      </c>
      <c r="AB1101" s="54">
        <v>18.4574</v>
      </c>
      <c r="AC1101" s="54">
        <v>1.6160857142857141</v>
      </c>
      <c r="AD1101" s="36">
        <v>82.523560000000003</v>
      </c>
    </row>
    <row r="1102" spans="1:30" s="37" customFormat="1" ht="15.75" customHeight="1" x14ac:dyDescent="0.2">
      <c r="A1102" s="26">
        <v>1186</v>
      </c>
      <c r="B1102" s="27" t="s">
        <v>2095</v>
      </c>
      <c r="C1102" s="27" t="s">
        <v>26</v>
      </c>
      <c r="D1102" s="28">
        <v>7.0000000000000007E-2</v>
      </c>
      <c r="E1102" s="29">
        <v>400.97</v>
      </c>
      <c r="F1102" s="29">
        <v>48.26</v>
      </c>
      <c r="G1102" s="30" t="s">
        <v>27</v>
      </c>
      <c r="H1102" s="27" t="s">
        <v>40</v>
      </c>
      <c r="I1102" s="27" t="s">
        <v>41</v>
      </c>
      <c r="J1102" s="27" t="s">
        <v>57</v>
      </c>
      <c r="K1102" s="27" t="s">
        <v>31</v>
      </c>
      <c r="L1102" s="31" t="s">
        <v>1560</v>
      </c>
      <c r="M1102" s="32">
        <v>0.36</v>
      </c>
      <c r="N1102" s="27" t="s">
        <v>33</v>
      </c>
      <c r="O1102" s="27" t="s">
        <v>60</v>
      </c>
      <c r="P1102" s="27" t="s">
        <v>90</v>
      </c>
      <c r="Q1102" s="27" t="s">
        <v>2096</v>
      </c>
      <c r="R1102" s="33">
        <v>92646</v>
      </c>
      <c r="S1102" s="34">
        <v>42103</v>
      </c>
      <c r="T1102" s="34">
        <v>42104</v>
      </c>
      <c r="U1102" s="29">
        <v>2581.5590999999999</v>
      </c>
      <c r="V1102" s="26">
        <v>10</v>
      </c>
      <c r="W1102" s="29">
        <v>3741.39</v>
      </c>
      <c r="X1102" s="26">
        <v>85939</v>
      </c>
      <c r="Y1102" s="35">
        <v>8.51</v>
      </c>
      <c r="Z1102" s="1" t="s">
        <v>3013</v>
      </c>
      <c r="AA1102" s="36">
        <v>280.67900000000003</v>
      </c>
      <c r="AB1102" s="54">
        <v>2394.4895999999999</v>
      </c>
      <c r="AC1102" s="54">
        <v>134.69004000000001</v>
      </c>
      <c r="AD1102" s="36">
        <v>830.89189999999962</v>
      </c>
    </row>
    <row r="1103" spans="1:30" s="37" customFormat="1" ht="15.75" customHeight="1" x14ac:dyDescent="0.2">
      <c r="A1103" s="26">
        <v>1178</v>
      </c>
      <c r="B1103" s="27" t="s">
        <v>2099</v>
      </c>
      <c r="C1103" s="27" t="s">
        <v>38</v>
      </c>
      <c r="D1103" s="28">
        <v>0.06</v>
      </c>
      <c r="E1103" s="29">
        <v>350.99</v>
      </c>
      <c r="F1103" s="29">
        <v>39</v>
      </c>
      <c r="G1103" s="30" t="s">
        <v>27</v>
      </c>
      <c r="H1103" s="27" t="s">
        <v>40</v>
      </c>
      <c r="I1103" s="27" t="s">
        <v>29</v>
      </c>
      <c r="J1103" s="27" t="s">
        <v>109</v>
      </c>
      <c r="K1103" s="27" t="s">
        <v>58</v>
      </c>
      <c r="L1103" s="31" t="s">
        <v>438</v>
      </c>
      <c r="M1103" s="32">
        <v>0.55000000000000004</v>
      </c>
      <c r="N1103" s="27" t="s">
        <v>33</v>
      </c>
      <c r="O1103" s="27" t="s">
        <v>34</v>
      </c>
      <c r="P1103" s="27" t="s">
        <v>123</v>
      </c>
      <c r="Q1103" s="27" t="s">
        <v>2100</v>
      </c>
      <c r="R1103" s="33">
        <v>32701</v>
      </c>
      <c r="S1103" s="34">
        <v>42103</v>
      </c>
      <c r="T1103" s="34">
        <v>42105</v>
      </c>
      <c r="U1103" s="29">
        <v>-302.61559999999997</v>
      </c>
      <c r="V1103" s="26">
        <v>10</v>
      </c>
      <c r="W1103" s="29">
        <v>3506.78</v>
      </c>
      <c r="X1103" s="26">
        <v>89787</v>
      </c>
      <c r="Y1103" s="35">
        <v>400.90000000000003</v>
      </c>
      <c r="Z1103" s="1" t="s">
        <v>3011</v>
      </c>
      <c r="AA1103" s="36">
        <v>210.59399999999999</v>
      </c>
      <c r="AB1103" s="54">
        <v>1578.0509999999999</v>
      </c>
      <c r="AC1103" s="54">
        <v>192.87290000000002</v>
      </c>
      <c r="AD1103" s="36">
        <v>3559.8016000000002</v>
      </c>
    </row>
    <row r="1104" spans="1:30" s="37" customFormat="1" ht="15.75" customHeight="1" x14ac:dyDescent="0.2">
      <c r="A1104" s="26">
        <v>1250</v>
      </c>
      <c r="B1104" s="27" t="s">
        <v>2101</v>
      </c>
      <c r="C1104" s="27" t="s">
        <v>38</v>
      </c>
      <c r="D1104" s="28">
        <v>0.09</v>
      </c>
      <c r="E1104" s="29">
        <v>120.98</v>
      </c>
      <c r="F1104" s="29">
        <v>30</v>
      </c>
      <c r="G1104" s="30" t="s">
        <v>27</v>
      </c>
      <c r="H1104" s="27" t="s">
        <v>94</v>
      </c>
      <c r="I1104" s="27" t="s">
        <v>29</v>
      </c>
      <c r="J1104" s="27" t="s">
        <v>109</v>
      </c>
      <c r="K1104" s="27" t="s">
        <v>58</v>
      </c>
      <c r="L1104" s="31" t="s">
        <v>1125</v>
      </c>
      <c r="M1104" s="32">
        <v>0.64</v>
      </c>
      <c r="N1104" s="27" t="s">
        <v>33</v>
      </c>
      <c r="O1104" s="27" t="s">
        <v>53</v>
      </c>
      <c r="P1104" s="27" t="s">
        <v>103</v>
      </c>
      <c r="Q1104" s="27" t="s">
        <v>2102</v>
      </c>
      <c r="R1104" s="33">
        <v>60110</v>
      </c>
      <c r="S1104" s="34">
        <v>42103</v>
      </c>
      <c r="T1104" s="34">
        <v>42105</v>
      </c>
      <c r="U1104" s="29">
        <v>74.004800000000003</v>
      </c>
      <c r="V1104" s="26">
        <v>22</v>
      </c>
      <c r="W1104" s="29">
        <v>2508.15</v>
      </c>
      <c r="X1104" s="26">
        <v>87877</v>
      </c>
      <c r="Y1104" s="35">
        <v>120.88000000000001</v>
      </c>
      <c r="Z1104" s="1" t="s">
        <v>3012</v>
      </c>
      <c r="AA1104" s="36">
        <v>239.54039999999998</v>
      </c>
      <c r="AB1104" s="54">
        <v>902.93399999999997</v>
      </c>
      <c r="AC1104" s="54">
        <v>72.964363636363643</v>
      </c>
      <c r="AD1104" s="36">
        <v>2164.6048000000001</v>
      </c>
    </row>
    <row r="1105" spans="1:30" s="37" customFormat="1" ht="15.75" customHeight="1" x14ac:dyDescent="0.2">
      <c r="A1105" s="26">
        <v>191</v>
      </c>
      <c r="B1105" s="27" t="s">
        <v>1121</v>
      </c>
      <c r="C1105" s="27" t="s">
        <v>3094</v>
      </c>
      <c r="D1105" s="28">
        <v>0</v>
      </c>
      <c r="E1105" s="29">
        <v>125.99</v>
      </c>
      <c r="F1105" s="29">
        <v>8.08</v>
      </c>
      <c r="G1105" s="30" t="s">
        <v>39</v>
      </c>
      <c r="H1105" s="27" t="s">
        <v>94</v>
      </c>
      <c r="I1105" s="27" t="s">
        <v>41</v>
      </c>
      <c r="J1105" s="27" t="s">
        <v>135</v>
      </c>
      <c r="K1105" s="27" t="s">
        <v>73</v>
      </c>
      <c r="L1105" s="31" t="s">
        <v>2113</v>
      </c>
      <c r="M1105" s="32">
        <v>0.56999999999999995</v>
      </c>
      <c r="N1105" s="27" t="s">
        <v>33</v>
      </c>
      <c r="O1105" s="27" t="s">
        <v>53</v>
      </c>
      <c r="P1105" s="27" t="s">
        <v>103</v>
      </c>
      <c r="Q1105" s="27" t="s">
        <v>1123</v>
      </c>
      <c r="R1105" s="33">
        <v>60505</v>
      </c>
      <c r="S1105" s="34">
        <v>42103</v>
      </c>
      <c r="T1105" s="34">
        <v>42104</v>
      </c>
      <c r="U1105" s="29">
        <v>1348.59672</v>
      </c>
      <c r="V1105" s="26">
        <v>22</v>
      </c>
      <c r="W1105" s="29">
        <v>2356.0100000000002</v>
      </c>
      <c r="X1105" s="26">
        <v>89093</v>
      </c>
      <c r="Y1105" s="35">
        <v>152.45999999999998</v>
      </c>
      <c r="Z1105" s="1" t="s">
        <v>3012</v>
      </c>
      <c r="AA1105" s="36">
        <v>0</v>
      </c>
      <c r="AB1105" s="54">
        <v>1013.0843000000002</v>
      </c>
      <c r="AC1105" s="54">
        <v>61.042077272727276</v>
      </c>
      <c r="AD1105" s="36">
        <v>999.33328000000029</v>
      </c>
    </row>
    <row r="1106" spans="1:30" s="37" customFormat="1" ht="15.75" customHeight="1" x14ac:dyDescent="0.2">
      <c r="A1106" s="26">
        <v>1634</v>
      </c>
      <c r="B1106" s="27" t="s">
        <v>2114</v>
      </c>
      <c r="C1106" s="27" t="s">
        <v>3094</v>
      </c>
      <c r="D1106" s="28">
        <v>0.08</v>
      </c>
      <c r="E1106" s="29">
        <v>100.97</v>
      </c>
      <c r="F1106" s="29">
        <v>14</v>
      </c>
      <c r="G1106" s="30" t="s">
        <v>27</v>
      </c>
      <c r="H1106" s="27" t="s">
        <v>71</v>
      </c>
      <c r="I1106" s="27" t="s">
        <v>41</v>
      </c>
      <c r="J1106" s="27" t="s">
        <v>57</v>
      </c>
      <c r="K1106" s="27" t="s">
        <v>58</v>
      </c>
      <c r="L1106" s="31" t="s">
        <v>2115</v>
      </c>
      <c r="M1106" s="32">
        <v>0.37</v>
      </c>
      <c r="N1106" s="27" t="s">
        <v>33</v>
      </c>
      <c r="O1106" s="27" t="s">
        <v>34</v>
      </c>
      <c r="P1106" s="27" t="s">
        <v>35</v>
      </c>
      <c r="Q1106" s="27" t="s">
        <v>2116</v>
      </c>
      <c r="R1106" s="33">
        <v>39212</v>
      </c>
      <c r="S1106" s="34">
        <v>42103</v>
      </c>
      <c r="T1106" s="34">
        <v>42104</v>
      </c>
      <c r="U1106" s="29">
        <v>-73.494119999999995</v>
      </c>
      <c r="V1106" s="26">
        <v>15</v>
      </c>
      <c r="W1106" s="29">
        <v>1483.16</v>
      </c>
      <c r="X1106" s="26">
        <v>90532</v>
      </c>
      <c r="Y1106" s="35">
        <v>4.45</v>
      </c>
      <c r="Z1106" s="1" t="s">
        <v>3011</v>
      </c>
      <c r="AA1106" s="36">
        <v>121.164</v>
      </c>
      <c r="AB1106" s="54">
        <v>934.39080000000001</v>
      </c>
      <c r="AC1106" s="54">
        <v>36.584613333333337</v>
      </c>
      <c r="AD1106" s="36">
        <v>1421.4901200000002</v>
      </c>
    </row>
    <row r="1107" spans="1:30" s="37" customFormat="1" ht="15.75" customHeight="1" x14ac:dyDescent="0.2">
      <c r="A1107" s="26">
        <v>2491</v>
      </c>
      <c r="B1107" s="27" t="s">
        <v>457</v>
      </c>
      <c r="C1107" s="27" t="s">
        <v>38</v>
      </c>
      <c r="D1107" s="28">
        <v>0.02</v>
      </c>
      <c r="E1107" s="29">
        <v>28.15</v>
      </c>
      <c r="F1107" s="29">
        <v>6.17</v>
      </c>
      <c r="G1107" s="30" t="s">
        <v>39</v>
      </c>
      <c r="H1107" s="27" t="s">
        <v>40</v>
      </c>
      <c r="I1107" s="27" t="s">
        <v>49</v>
      </c>
      <c r="J1107" s="27" t="s">
        <v>50</v>
      </c>
      <c r="K1107" s="27" t="s">
        <v>43</v>
      </c>
      <c r="L1107" s="31" t="s">
        <v>619</v>
      </c>
      <c r="M1107" s="32">
        <v>0.55000000000000004</v>
      </c>
      <c r="N1107" s="27" t="s">
        <v>33</v>
      </c>
      <c r="O1107" s="27" t="s">
        <v>60</v>
      </c>
      <c r="P1107" s="27" t="s">
        <v>90</v>
      </c>
      <c r="Q1107" s="27" t="s">
        <v>100</v>
      </c>
      <c r="R1107" s="33">
        <v>90045</v>
      </c>
      <c r="S1107" s="34">
        <v>42103</v>
      </c>
      <c r="T1107" s="34">
        <v>42104</v>
      </c>
      <c r="U1107" s="29">
        <v>117.208</v>
      </c>
      <c r="V1107" s="26">
        <v>45</v>
      </c>
      <c r="W1107" s="29">
        <v>1339.42</v>
      </c>
      <c r="X1107" s="26">
        <v>14785</v>
      </c>
      <c r="Y1107" s="35">
        <v>350.93</v>
      </c>
      <c r="Z1107" s="1" t="s">
        <v>3013</v>
      </c>
      <c r="AA1107" s="36">
        <v>25.334999999999997</v>
      </c>
      <c r="AB1107" s="54">
        <v>602.73899999999992</v>
      </c>
      <c r="AC1107" s="54">
        <v>16.370688888888893</v>
      </c>
      <c r="AD1107" s="36">
        <v>1190.7070000000001</v>
      </c>
    </row>
    <row r="1108" spans="1:30" s="37" customFormat="1" ht="15.75" customHeight="1" x14ac:dyDescent="0.2">
      <c r="A1108" s="26">
        <v>2851</v>
      </c>
      <c r="B1108" s="27" t="s">
        <v>2108</v>
      </c>
      <c r="C1108" s="27" t="s">
        <v>48</v>
      </c>
      <c r="D1108" s="28">
        <v>0.05</v>
      </c>
      <c r="E1108" s="29">
        <v>115.99</v>
      </c>
      <c r="F1108" s="29">
        <v>8.99</v>
      </c>
      <c r="G1108" s="30" t="s">
        <v>39</v>
      </c>
      <c r="H1108" s="27" t="s">
        <v>40</v>
      </c>
      <c r="I1108" s="27" t="s">
        <v>41</v>
      </c>
      <c r="J1108" s="27" t="s">
        <v>135</v>
      </c>
      <c r="K1108" s="27" t="s">
        <v>73</v>
      </c>
      <c r="L1108" s="31" t="s">
        <v>2109</v>
      </c>
      <c r="M1108" s="32">
        <v>0.57999999999999996</v>
      </c>
      <c r="N1108" s="27" t="s">
        <v>33</v>
      </c>
      <c r="O1108" s="27" t="s">
        <v>53</v>
      </c>
      <c r="P1108" s="27" t="s">
        <v>187</v>
      </c>
      <c r="Q1108" s="27" t="s">
        <v>2110</v>
      </c>
      <c r="R1108" s="33">
        <v>79762</v>
      </c>
      <c r="S1108" s="34">
        <v>42103</v>
      </c>
      <c r="T1108" s="34">
        <v>42107</v>
      </c>
      <c r="U1108" s="29">
        <v>719.35260000000005</v>
      </c>
      <c r="V1108" s="26">
        <v>11</v>
      </c>
      <c r="W1108" s="29">
        <v>1042.54</v>
      </c>
      <c r="X1108" s="26">
        <v>86454</v>
      </c>
      <c r="Y1108" s="35">
        <v>40.889999999999993</v>
      </c>
      <c r="Z1108" s="1" t="s">
        <v>3012</v>
      </c>
      <c r="AA1108" s="36">
        <v>63.794499999999999</v>
      </c>
      <c r="AB1108" s="54">
        <v>437.86680000000001</v>
      </c>
      <c r="AC1108" s="54">
        <v>54.970290909090899</v>
      </c>
      <c r="AD1108" s="36">
        <v>250.40289999999993</v>
      </c>
    </row>
    <row r="1109" spans="1:30" s="37" customFormat="1" ht="15.75" customHeight="1" x14ac:dyDescent="0.2">
      <c r="A1109" s="26">
        <v>1271</v>
      </c>
      <c r="B1109" s="27" t="s">
        <v>2111</v>
      </c>
      <c r="C1109" s="27" t="s">
        <v>116</v>
      </c>
      <c r="D1109" s="28">
        <v>7.0000000000000007E-2</v>
      </c>
      <c r="E1109" s="29">
        <v>125.99</v>
      </c>
      <c r="F1109" s="29">
        <v>7.69</v>
      </c>
      <c r="G1109" s="30" t="s">
        <v>39</v>
      </c>
      <c r="H1109" s="27" t="s">
        <v>94</v>
      </c>
      <c r="I1109" s="27" t="s">
        <v>41</v>
      </c>
      <c r="J1109" s="27" t="s">
        <v>135</v>
      </c>
      <c r="K1109" s="27" t="s">
        <v>73</v>
      </c>
      <c r="L1109" s="31" t="s">
        <v>645</v>
      </c>
      <c r="M1109" s="32">
        <v>0.59</v>
      </c>
      <c r="N1109" s="27" t="s">
        <v>33</v>
      </c>
      <c r="O1109" s="27" t="s">
        <v>60</v>
      </c>
      <c r="P1109" s="27" t="s">
        <v>90</v>
      </c>
      <c r="Q1109" s="27" t="s">
        <v>2112</v>
      </c>
      <c r="R1109" s="33">
        <v>91941</v>
      </c>
      <c r="S1109" s="34">
        <v>42103</v>
      </c>
      <c r="T1109" s="34">
        <v>42104</v>
      </c>
      <c r="U1109" s="29">
        <v>588.24570000000006</v>
      </c>
      <c r="V1109" s="26">
        <v>8</v>
      </c>
      <c r="W1109" s="29">
        <v>852.53</v>
      </c>
      <c r="X1109" s="26">
        <v>88410</v>
      </c>
      <c r="Y1109" s="35">
        <v>3.89</v>
      </c>
      <c r="Z1109" s="1" t="s">
        <v>3013</v>
      </c>
      <c r="AA1109" s="36">
        <v>70.554400000000001</v>
      </c>
      <c r="AB1109" s="54">
        <v>349.53730000000002</v>
      </c>
      <c r="AC1109" s="54">
        <v>62.874087499999995</v>
      </c>
      <c r="AD1109" s="36">
        <v>186.03989999999988</v>
      </c>
    </row>
    <row r="1110" spans="1:30" s="37" customFormat="1" ht="15.75" customHeight="1" x14ac:dyDescent="0.2">
      <c r="A1110" s="26">
        <v>1233</v>
      </c>
      <c r="B1110" s="27" t="s">
        <v>2097</v>
      </c>
      <c r="C1110" s="27" t="s">
        <v>26</v>
      </c>
      <c r="D1110" s="28">
        <v>0.1</v>
      </c>
      <c r="E1110" s="29">
        <v>120.98</v>
      </c>
      <c r="F1110" s="29">
        <v>9.07</v>
      </c>
      <c r="G1110" s="30" t="s">
        <v>87</v>
      </c>
      <c r="H1110" s="27" t="s">
        <v>40</v>
      </c>
      <c r="I1110" s="27" t="s">
        <v>49</v>
      </c>
      <c r="J1110" s="27" t="s">
        <v>72</v>
      </c>
      <c r="K1110" s="27" t="s">
        <v>73</v>
      </c>
      <c r="L1110" s="31" t="s">
        <v>1423</v>
      </c>
      <c r="M1110" s="32">
        <v>0.35</v>
      </c>
      <c r="N1110" s="27" t="s">
        <v>33</v>
      </c>
      <c r="O1110" s="27" t="s">
        <v>53</v>
      </c>
      <c r="P1110" s="27" t="s">
        <v>187</v>
      </c>
      <c r="Q1110" s="27" t="s">
        <v>2098</v>
      </c>
      <c r="R1110" s="33">
        <v>75028</v>
      </c>
      <c r="S1110" s="34">
        <v>42103</v>
      </c>
      <c r="T1110" s="34">
        <v>42105</v>
      </c>
      <c r="U1110" s="29">
        <v>297.45715999999999</v>
      </c>
      <c r="V1110" s="26">
        <v>5</v>
      </c>
      <c r="W1110" s="29">
        <v>568.24</v>
      </c>
      <c r="X1110" s="26">
        <v>89375</v>
      </c>
      <c r="Y1110" s="35">
        <v>120.89</v>
      </c>
      <c r="Z1110" s="1" t="s">
        <v>3012</v>
      </c>
      <c r="AA1110" s="36">
        <v>60.49</v>
      </c>
      <c r="AB1110" s="54">
        <v>369.35599999999999</v>
      </c>
      <c r="AC1110" s="54">
        <v>39.776799999999994</v>
      </c>
      <c r="AD1110" s="36">
        <v>201.22284000000002</v>
      </c>
    </row>
    <row r="1111" spans="1:30" s="37" customFormat="1" ht="15.75" customHeight="1" x14ac:dyDescent="0.2">
      <c r="A1111" s="26">
        <v>2488</v>
      </c>
      <c r="B1111" s="27" t="s">
        <v>2103</v>
      </c>
      <c r="C1111" s="27" t="s">
        <v>38</v>
      </c>
      <c r="D1111" s="28">
        <v>0.02</v>
      </c>
      <c r="E1111" s="29">
        <v>28.15</v>
      </c>
      <c r="F1111" s="29">
        <v>6.17</v>
      </c>
      <c r="G1111" s="30" t="s">
        <v>39</v>
      </c>
      <c r="H1111" s="27" t="s">
        <v>40</v>
      </c>
      <c r="I1111" s="27" t="s">
        <v>49</v>
      </c>
      <c r="J1111" s="27" t="s">
        <v>50</v>
      </c>
      <c r="K1111" s="27" t="s">
        <v>43</v>
      </c>
      <c r="L1111" s="31" t="s">
        <v>619</v>
      </c>
      <c r="M1111" s="32">
        <v>0.55000000000000004</v>
      </c>
      <c r="N1111" s="27" t="s">
        <v>33</v>
      </c>
      <c r="O1111" s="27" t="s">
        <v>34</v>
      </c>
      <c r="P1111" s="27" t="s">
        <v>45</v>
      </c>
      <c r="Q1111" s="27" t="s">
        <v>2104</v>
      </c>
      <c r="R1111" s="33">
        <v>72023</v>
      </c>
      <c r="S1111" s="34">
        <v>42103</v>
      </c>
      <c r="T1111" s="34">
        <v>42104</v>
      </c>
      <c r="U1111" s="29">
        <v>160.8066</v>
      </c>
      <c r="V1111" s="26">
        <v>11</v>
      </c>
      <c r="W1111" s="29">
        <v>327.41000000000003</v>
      </c>
      <c r="X1111" s="26">
        <v>86887</v>
      </c>
      <c r="Y1111" s="35">
        <v>30.88</v>
      </c>
      <c r="Z1111" s="1" t="s">
        <v>3011</v>
      </c>
      <c r="AA1111" s="36">
        <v>6.1929999999999996</v>
      </c>
      <c r="AB1111" s="54">
        <v>147.33449999999999</v>
      </c>
      <c r="AC1111" s="54">
        <v>16.370500000000003</v>
      </c>
      <c r="AD1111" s="36">
        <v>154.24040000000002</v>
      </c>
    </row>
    <row r="1112" spans="1:30" s="37" customFormat="1" ht="15.75" customHeight="1" x14ac:dyDescent="0.2">
      <c r="A1112" s="26">
        <v>2847</v>
      </c>
      <c r="B1112" s="27" t="s">
        <v>2117</v>
      </c>
      <c r="C1112" s="27" t="s">
        <v>3094</v>
      </c>
      <c r="D1112" s="28">
        <v>0.04</v>
      </c>
      <c r="E1112" s="29">
        <v>90.48</v>
      </c>
      <c r="F1112" s="29">
        <v>19.989999999999998</v>
      </c>
      <c r="G1112" s="30" t="s">
        <v>39</v>
      </c>
      <c r="H1112" s="27" t="s">
        <v>94</v>
      </c>
      <c r="I1112" s="27" t="s">
        <v>49</v>
      </c>
      <c r="J1112" s="27" t="s">
        <v>345</v>
      </c>
      <c r="K1112" s="27" t="s">
        <v>73</v>
      </c>
      <c r="L1112" s="31" t="s">
        <v>502</v>
      </c>
      <c r="M1112" s="32">
        <v>0.4</v>
      </c>
      <c r="N1112" s="27" t="s">
        <v>33</v>
      </c>
      <c r="O1112" s="27" t="s">
        <v>34</v>
      </c>
      <c r="P1112" s="27" t="s">
        <v>400</v>
      </c>
      <c r="Q1112" s="27" t="s">
        <v>2118</v>
      </c>
      <c r="R1112" s="33">
        <v>38017</v>
      </c>
      <c r="S1112" s="34">
        <v>42103</v>
      </c>
      <c r="T1112" s="34">
        <v>42105</v>
      </c>
      <c r="U1112" s="29">
        <v>55.555199999999999</v>
      </c>
      <c r="V1112" s="26">
        <v>3</v>
      </c>
      <c r="W1112" s="29">
        <v>268.64</v>
      </c>
      <c r="X1112" s="26">
        <v>85928</v>
      </c>
      <c r="Y1112" s="35">
        <v>4.83</v>
      </c>
      <c r="Z1112" s="1" t="s">
        <v>3011</v>
      </c>
      <c r="AA1112" s="36">
        <v>10.857600000000001</v>
      </c>
      <c r="AB1112" s="54">
        <v>161.184</v>
      </c>
      <c r="AC1112" s="54">
        <v>35.818666666666665</v>
      </c>
      <c r="AD1112" s="36">
        <v>182.23719999999997</v>
      </c>
    </row>
    <row r="1113" spans="1:30" s="37" customFormat="1" ht="15.75" customHeight="1" x14ac:dyDescent="0.2">
      <c r="A1113" s="26">
        <v>1178</v>
      </c>
      <c r="B1113" s="27" t="s">
        <v>2099</v>
      </c>
      <c r="C1113" s="27" t="s">
        <v>38</v>
      </c>
      <c r="D1113" s="28">
        <v>0.09</v>
      </c>
      <c r="E1113" s="29">
        <v>40.98</v>
      </c>
      <c r="F1113" s="29">
        <v>6.5</v>
      </c>
      <c r="G1113" s="30" t="s">
        <v>87</v>
      </c>
      <c r="H1113" s="27" t="s">
        <v>40</v>
      </c>
      <c r="I1113" s="27" t="s">
        <v>41</v>
      </c>
      <c r="J1113" s="27" t="s">
        <v>42</v>
      </c>
      <c r="K1113" s="27" t="s">
        <v>73</v>
      </c>
      <c r="L1113" s="31" t="s">
        <v>446</v>
      </c>
      <c r="M1113" s="32">
        <v>0.74</v>
      </c>
      <c r="N1113" s="27" t="s">
        <v>33</v>
      </c>
      <c r="O1113" s="27" t="s">
        <v>34</v>
      </c>
      <c r="P1113" s="27" t="s">
        <v>123</v>
      </c>
      <c r="Q1113" s="27" t="s">
        <v>2100</v>
      </c>
      <c r="R1113" s="33">
        <v>32701</v>
      </c>
      <c r="S1113" s="34">
        <v>42103</v>
      </c>
      <c r="T1113" s="34">
        <v>42105</v>
      </c>
      <c r="U1113" s="29">
        <v>5.6916000000000002</v>
      </c>
      <c r="V1113" s="26">
        <v>7</v>
      </c>
      <c r="W1113" s="29">
        <v>267.69</v>
      </c>
      <c r="X1113" s="26">
        <v>89787</v>
      </c>
      <c r="Y1113" s="35">
        <v>28.13</v>
      </c>
      <c r="Z1113" s="1" t="s">
        <v>3011</v>
      </c>
      <c r="AA1113" s="36">
        <v>25.817399999999999</v>
      </c>
      <c r="AB1113" s="54">
        <v>69.599400000000003</v>
      </c>
      <c r="AC1113" s="54">
        <v>28.298657142857142</v>
      </c>
      <c r="AD1113" s="36">
        <v>229.68099999999998</v>
      </c>
    </row>
    <row r="1114" spans="1:30" s="37" customFormat="1" ht="15.75" customHeight="1" x14ac:dyDescent="0.2">
      <c r="A1114" s="26">
        <v>1250</v>
      </c>
      <c r="B1114" s="27" t="s">
        <v>2101</v>
      </c>
      <c r="C1114" s="27" t="s">
        <v>38</v>
      </c>
      <c r="D1114" s="28">
        <v>0.1</v>
      </c>
      <c r="E1114" s="29">
        <v>30.98</v>
      </c>
      <c r="F1114" s="29">
        <v>5.76</v>
      </c>
      <c r="G1114" s="30" t="s">
        <v>39</v>
      </c>
      <c r="H1114" s="27" t="s">
        <v>94</v>
      </c>
      <c r="I1114" s="27" t="s">
        <v>49</v>
      </c>
      <c r="J1114" s="27" t="s">
        <v>88</v>
      </c>
      <c r="K1114" s="27" t="s">
        <v>73</v>
      </c>
      <c r="L1114" s="31" t="s">
        <v>739</v>
      </c>
      <c r="M1114" s="32">
        <v>0.4</v>
      </c>
      <c r="N1114" s="27" t="s">
        <v>33</v>
      </c>
      <c r="O1114" s="27" t="s">
        <v>53</v>
      </c>
      <c r="P1114" s="27" t="s">
        <v>103</v>
      </c>
      <c r="Q1114" s="27" t="s">
        <v>2102</v>
      </c>
      <c r="R1114" s="33">
        <v>60110</v>
      </c>
      <c r="S1114" s="34">
        <v>42103</v>
      </c>
      <c r="T1114" s="34">
        <v>42104</v>
      </c>
      <c r="U1114" s="29">
        <v>109.4248</v>
      </c>
      <c r="V1114" s="26">
        <v>8</v>
      </c>
      <c r="W1114" s="29">
        <v>225.62</v>
      </c>
      <c r="X1114" s="26">
        <v>87877</v>
      </c>
      <c r="Y1114" s="35">
        <v>4.83</v>
      </c>
      <c r="Z1114" s="1" t="s">
        <v>3012</v>
      </c>
      <c r="AA1114" s="36">
        <v>24.784000000000002</v>
      </c>
      <c r="AB1114" s="54">
        <v>135.37199999999999</v>
      </c>
      <c r="AC1114" s="54">
        <v>11.281000000000001</v>
      </c>
      <c r="AD1114" s="36">
        <v>85.651199999999989</v>
      </c>
    </row>
    <row r="1115" spans="1:30" s="37" customFormat="1" ht="15.75" customHeight="1" x14ac:dyDescent="0.2">
      <c r="A1115" s="26">
        <v>191</v>
      </c>
      <c r="B1115" s="27" t="s">
        <v>1121</v>
      </c>
      <c r="C1115" s="27" t="s">
        <v>3094</v>
      </c>
      <c r="D1115" s="28">
        <v>0.09</v>
      </c>
      <c r="E1115" s="29">
        <v>30.73</v>
      </c>
      <c r="F1115" s="29">
        <v>4</v>
      </c>
      <c r="G1115" s="30" t="s">
        <v>39</v>
      </c>
      <c r="H1115" s="27" t="s">
        <v>94</v>
      </c>
      <c r="I1115" s="27" t="s">
        <v>41</v>
      </c>
      <c r="J1115" s="27" t="s">
        <v>42</v>
      </c>
      <c r="K1115" s="27" t="s">
        <v>73</v>
      </c>
      <c r="L1115" s="31" t="s">
        <v>674</v>
      </c>
      <c r="M1115" s="32">
        <v>0.75</v>
      </c>
      <c r="N1115" s="27" t="s">
        <v>33</v>
      </c>
      <c r="O1115" s="27" t="s">
        <v>53</v>
      </c>
      <c r="P1115" s="27" t="s">
        <v>103</v>
      </c>
      <c r="Q1115" s="27" t="s">
        <v>1123</v>
      </c>
      <c r="R1115" s="33">
        <v>60505</v>
      </c>
      <c r="S1115" s="34">
        <v>42103</v>
      </c>
      <c r="T1115" s="34">
        <v>42103</v>
      </c>
      <c r="U1115" s="29">
        <v>-99.986400000000003</v>
      </c>
      <c r="V1115" s="26">
        <v>7</v>
      </c>
      <c r="W1115" s="29">
        <v>203.49</v>
      </c>
      <c r="X1115" s="26">
        <v>89093</v>
      </c>
      <c r="Y1115" s="35">
        <v>28.13</v>
      </c>
      <c r="Z1115" s="1" t="s">
        <v>3012</v>
      </c>
      <c r="AA1115" s="36">
        <v>19.3599</v>
      </c>
      <c r="AB1115" s="54">
        <v>50.872500000000002</v>
      </c>
      <c r="AC1115" s="54">
        <v>21.802500000000002</v>
      </c>
      <c r="AD1115" s="36">
        <v>280.11650000000003</v>
      </c>
    </row>
    <row r="1116" spans="1:30" s="37" customFormat="1" ht="15.75" customHeight="1" x14ac:dyDescent="0.2">
      <c r="A1116" s="26">
        <v>2491</v>
      </c>
      <c r="B1116" s="27" t="s">
        <v>457</v>
      </c>
      <c r="C1116" s="27" t="s">
        <v>38</v>
      </c>
      <c r="D1116" s="28">
        <v>0.08</v>
      </c>
      <c r="E1116" s="29">
        <v>4.91</v>
      </c>
      <c r="F1116" s="29">
        <v>0.5</v>
      </c>
      <c r="G1116" s="30" t="s">
        <v>39</v>
      </c>
      <c r="H1116" s="27" t="s">
        <v>40</v>
      </c>
      <c r="I1116" s="27" t="s">
        <v>49</v>
      </c>
      <c r="J1116" s="27" t="s">
        <v>152</v>
      </c>
      <c r="K1116" s="27" t="s">
        <v>73</v>
      </c>
      <c r="L1116" s="31" t="s">
        <v>973</v>
      </c>
      <c r="M1116" s="32">
        <v>0.36</v>
      </c>
      <c r="N1116" s="27" t="s">
        <v>33</v>
      </c>
      <c r="O1116" s="27" t="s">
        <v>60</v>
      </c>
      <c r="P1116" s="27" t="s">
        <v>90</v>
      </c>
      <c r="Q1116" s="27" t="s">
        <v>100</v>
      </c>
      <c r="R1116" s="33">
        <v>90045</v>
      </c>
      <c r="S1116" s="34">
        <v>42103</v>
      </c>
      <c r="T1116" s="34">
        <v>42103</v>
      </c>
      <c r="U1116" s="29">
        <v>31.751999999999999</v>
      </c>
      <c r="V1116" s="26">
        <v>36</v>
      </c>
      <c r="W1116" s="29">
        <v>170.75</v>
      </c>
      <c r="X1116" s="26">
        <v>14785</v>
      </c>
      <c r="Y1116" s="35">
        <v>2.0500000000000003</v>
      </c>
      <c r="Z1116" s="1" t="s">
        <v>3013</v>
      </c>
      <c r="AA1116" s="36">
        <v>14.140800000000002</v>
      </c>
      <c r="AB1116" s="54">
        <v>109.28</v>
      </c>
      <c r="AC1116" s="54">
        <v>1.7074999999999998</v>
      </c>
      <c r="AD1116" s="36">
        <v>124.35720000000001</v>
      </c>
    </row>
    <row r="1117" spans="1:30" s="37" customFormat="1" ht="15.75" customHeight="1" x14ac:dyDescent="0.2">
      <c r="A1117" s="26">
        <v>1233</v>
      </c>
      <c r="B1117" s="27" t="s">
        <v>2097</v>
      </c>
      <c r="C1117" s="27" t="s">
        <v>26</v>
      </c>
      <c r="D1117" s="28">
        <v>0.02</v>
      </c>
      <c r="E1117" s="29">
        <v>152.47999999999999</v>
      </c>
      <c r="F1117" s="29">
        <v>6.5</v>
      </c>
      <c r="G1117" s="30" t="s">
        <v>87</v>
      </c>
      <c r="H1117" s="27" t="s">
        <v>40</v>
      </c>
      <c r="I1117" s="27" t="s">
        <v>41</v>
      </c>
      <c r="J1117" s="27" t="s">
        <v>42</v>
      </c>
      <c r="K1117" s="27" t="s">
        <v>73</v>
      </c>
      <c r="L1117" s="31" t="s">
        <v>1793</v>
      </c>
      <c r="M1117" s="32">
        <v>0.74</v>
      </c>
      <c r="N1117" s="27" t="s">
        <v>33</v>
      </c>
      <c r="O1117" s="27" t="s">
        <v>53</v>
      </c>
      <c r="P1117" s="27" t="s">
        <v>187</v>
      </c>
      <c r="Q1117" s="27" t="s">
        <v>2098</v>
      </c>
      <c r="R1117" s="33">
        <v>75028</v>
      </c>
      <c r="S1117" s="34">
        <v>42103</v>
      </c>
      <c r="T1117" s="34">
        <v>42105</v>
      </c>
      <c r="U1117" s="29">
        <v>-564.60239999999999</v>
      </c>
      <c r="V1117" s="26">
        <v>1</v>
      </c>
      <c r="W1117" s="29">
        <v>162.91</v>
      </c>
      <c r="X1117" s="26">
        <v>89375</v>
      </c>
      <c r="Y1117" s="35">
        <v>2.0500000000000003</v>
      </c>
      <c r="Z1117" s="1" t="s">
        <v>3012</v>
      </c>
      <c r="AA1117" s="36">
        <v>3.0495999999999999</v>
      </c>
      <c r="AB1117" s="54">
        <v>42.3566</v>
      </c>
      <c r="AC1117" s="54">
        <v>120.5534</v>
      </c>
      <c r="AD1117" s="36">
        <v>717.9627999999999</v>
      </c>
    </row>
    <row r="1118" spans="1:30" s="37" customFormat="1" ht="15.75" customHeight="1" x14ac:dyDescent="0.2">
      <c r="A1118" s="26">
        <v>2334</v>
      </c>
      <c r="B1118" s="27" t="s">
        <v>2038</v>
      </c>
      <c r="C1118" s="27" t="s">
        <v>3094</v>
      </c>
      <c r="D1118" s="28">
        <v>0.05</v>
      </c>
      <c r="E1118" s="29">
        <v>14.81</v>
      </c>
      <c r="F1118" s="29">
        <v>13.32</v>
      </c>
      <c r="G1118" s="30" t="s">
        <v>39</v>
      </c>
      <c r="H1118" s="27" t="s">
        <v>3095</v>
      </c>
      <c r="I1118" s="27" t="s">
        <v>49</v>
      </c>
      <c r="J1118" s="27" t="s">
        <v>95</v>
      </c>
      <c r="K1118" s="27" t="s">
        <v>73</v>
      </c>
      <c r="L1118" s="31" t="s">
        <v>594</v>
      </c>
      <c r="M1118" s="32">
        <v>0.43</v>
      </c>
      <c r="N1118" s="27" t="s">
        <v>33</v>
      </c>
      <c r="O1118" s="27" t="s">
        <v>53</v>
      </c>
      <c r="P1118" s="27" t="s">
        <v>357</v>
      </c>
      <c r="Q1118" s="27" t="s">
        <v>2039</v>
      </c>
      <c r="R1118" s="33">
        <v>53220</v>
      </c>
      <c r="S1118" s="34">
        <v>42103</v>
      </c>
      <c r="T1118" s="34">
        <v>42105</v>
      </c>
      <c r="U1118" s="29">
        <v>-190.49</v>
      </c>
      <c r="V1118" s="26">
        <v>8</v>
      </c>
      <c r="W1118" s="29">
        <v>115.99</v>
      </c>
      <c r="X1118" s="26">
        <v>89609</v>
      </c>
      <c r="Y1118" s="35">
        <v>115.94</v>
      </c>
      <c r="Z1118" s="1" t="s">
        <v>3012</v>
      </c>
      <c r="AA1118" s="36">
        <v>5.9240000000000004</v>
      </c>
      <c r="AB1118" s="54">
        <v>66.1143</v>
      </c>
      <c r="AC1118" s="54">
        <v>6.2344624999999994</v>
      </c>
      <c r="AD1118" s="36">
        <v>287.23599999999999</v>
      </c>
    </row>
    <row r="1119" spans="1:30" s="37" customFormat="1" ht="15.75" customHeight="1" x14ac:dyDescent="0.2">
      <c r="A1119" s="26">
        <v>117</v>
      </c>
      <c r="B1119" s="27" t="s">
        <v>141</v>
      </c>
      <c r="C1119" s="27" t="s">
        <v>48</v>
      </c>
      <c r="D1119" s="28">
        <v>7.0000000000000007E-2</v>
      </c>
      <c r="E1119" s="29">
        <v>2.12</v>
      </c>
      <c r="F1119" s="29">
        <v>1.99</v>
      </c>
      <c r="G1119" s="30" t="s">
        <v>39</v>
      </c>
      <c r="H1119" s="27" t="s">
        <v>71</v>
      </c>
      <c r="I1119" s="27" t="s">
        <v>41</v>
      </c>
      <c r="J1119" s="27" t="s">
        <v>42</v>
      </c>
      <c r="K1119" s="27" t="s">
        <v>43</v>
      </c>
      <c r="L1119" s="31" t="s">
        <v>2106</v>
      </c>
      <c r="M1119" s="32">
        <v>0.55000000000000004</v>
      </c>
      <c r="N1119" s="27" t="s">
        <v>33</v>
      </c>
      <c r="O1119" s="27" t="s">
        <v>60</v>
      </c>
      <c r="P1119" s="27" t="s">
        <v>67</v>
      </c>
      <c r="Q1119" s="27" t="s">
        <v>142</v>
      </c>
      <c r="R1119" s="33">
        <v>98103</v>
      </c>
      <c r="S1119" s="34">
        <v>42103</v>
      </c>
      <c r="T1119" s="34">
        <v>42105</v>
      </c>
      <c r="U1119" s="29">
        <v>-55.84</v>
      </c>
      <c r="V1119" s="26">
        <v>46</v>
      </c>
      <c r="W1119" s="29">
        <v>99.94</v>
      </c>
      <c r="X1119" s="26">
        <v>58914</v>
      </c>
      <c r="Y1119" s="35">
        <v>125.92</v>
      </c>
      <c r="Z1119" s="1" t="s">
        <v>3013</v>
      </c>
      <c r="AA1119" s="36">
        <v>6.8264000000000014</v>
      </c>
      <c r="AB1119" s="54">
        <v>44.972999999999992</v>
      </c>
      <c r="AC1119" s="54">
        <v>1.1949347826086958</v>
      </c>
      <c r="AD1119" s="36">
        <v>146.96359999999999</v>
      </c>
    </row>
    <row r="1120" spans="1:30" s="37" customFormat="1" ht="15.75" customHeight="1" x14ac:dyDescent="0.2">
      <c r="A1120" s="26">
        <v>123</v>
      </c>
      <c r="B1120" s="27" t="s">
        <v>2092</v>
      </c>
      <c r="C1120" s="27" t="s">
        <v>26</v>
      </c>
      <c r="D1120" s="28">
        <v>0.06</v>
      </c>
      <c r="E1120" s="29">
        <v>8.57</v>
      </c>
      <c r="F1120" s="29">
        <v>6.14</v>
      </c>
      <c r="G1120" s="30" t="s">
        <v>39</v>
      </c>
      <c r="H1120" s="27" t="s">
        <v>71</v>
      </c>
      <c r="I1120" s="27" t="s">
        <v>49</v>
      </c>
      <c r="J1120" s="27" t="s">
        <v>568</v>
      </c>
      <c r="K1120" s="27" t="s">
        <v>43</v>
      </c>
      <c r="L1120" s="31" t="s">
        <v>2093</v>
      </c>
      <c r="M1120" s="32">
        <v>0.59</v>
      </c>
      <c r="N1120" s="27" t="s">
        <v>33</v>
      </c>
      <c r="O1120" s="27" t="s">
        <v>34</v>
      </c>
      <c r="P1120" s="27" t="s">
        <v>242</v>
      </c>
      <c r="Q1120" s="27" t="s">
        <v>2094</v>
      </c>
      <c r="R1120" s="33">
        <v>22102</v>
      </c>
      <c r="S1120" s="34">
        <v>42103</v>
      </c>
      <c r="T1120" s="34">
        <v>42104</v>
      </c>
      <c r="U1120" s="29">
        <v>105.678</v>
      </c>
      <c r="V1120" s="26">
        <v>11</v>
      </c>
      <c r="W1120" s="29">
        <v>94.97</v>
      </c>
      <c r="X1120" s="26">
        <v>90669</v>
      </c>
      <c r="Y1120" s="35">
        <v>3.75</v>
      </c>
      <c r="Z1120" s="1" t="s">
        <v>3011</v>
      </c>
      <c r="AA1120" s="36">
        <v>5.6562000000000001</v>
      </c>
      <c r="AB1120" s="54">
        <v>38.9377</v>
      </c>
      <c r="AC1120" s="54">
        <v>5.0938454545454537</v>
      </c>
      <c r="AD1120" s="36">
        <v>-22.504199999999997</v>
      </c>
    </row>
    <row r="1121" spans="1:30" s="37" customFormat="1" ht="15.75" customHeight="1" x14ac:dyDescent="0.2">
      <c r="A1121" s="26">
        <v>2847</v>
      </c>
      <c r="B1121" s="27" t="s">
        <v>2117</v>
      </c>
      <c r="C1121" s="27" t="s">
        <v>3094</v>
      </c>
      <c r="D1121" s="28">
        <v>0.02</v>
      </c>
      <c r="E1121" s="29">
        <v>9.77</v>
      </c>
      <c r="F1121" s="29">
        <v>6.02</v>
      </c>
      <c r="G1121" s="30" t="s">
        <v>39</v>
      </c>
      <c r="H1121" s="27" t="s">
        <v>94</v>
      </c>
      <c r="I1121" s="27" t="s">
        <v>29</v>
      </c>
      <c r="J1121" s="27" t="s">
        <v>126</v>
      </c>
      <c r="K1121" s="27" t="s">
        <v>144</v>
      </c>
      <c r="L1121" s="31" t="s">
        <v>2119</v>
      </c>
      <c r="M1121" s="32">
        <v>0.48</v>
      </c>
      <c r="N1121" s="27" t="s">
        <v>33</v>
      </c>
      <c r="O1121" s="27" t="s">
        <v>34</v>
      </c>
      <c r="P1121" s="27" t="s">
        <v>400</v>
      </c>
      <c r="Q1121" s="27" t="s">
        <v>2118</v>
      </c>
      <c r="R1121" s="33">
        <v>38017</v>
      </c>
      <c r="S1121" s="34">
        <v>42103</v>
      </c>
      <c r="T1121" s="34">
        <v>42104</v>
      </c>
      <c r="U1121" s="29">
        <v>-535.33199999999999</v>
      </c>
      <c r="V1121" s="26">
        <v>9</v>
      </c>
      <c r="W1121" s="29">
        <v>87.68</v>
      </c>
      <c r="X1121" s="26">
        <v>85928</v>
      </c>
      <c r="Y1121" s="35">
        <v>30.64</v>
      </c>
      <c r="Z1121" s="1" t="s">
        <v>3011</v>
      </c>
      <c r="AA1121" s="36">
        <v>1.7585999999999999</v>
      </c>
      <c r="AB1121" s="54">
        <v>45.593600000000002</v>
      </c>
      <c r="AC1121" s="54">
        <v>4.6762666666666668</v>
      </c>
      <c r="AD1121" s="36">
        <v>615.23340000000007</v>
      </c>
    </row>
    <row r="1122" spans="1:30" s="37" customFormat="1" ht="15.75" customHeight="1" x14ac:dyDescent="0.2">
      <c r="A1122" s="26">
        <v>1250</v>
      </c>
      <c r="B1122" s="27" t="s">
        <v>2101</v>
      </c>
      <c r="C1122" s="27" t="s">
        <v>38</v>
      </c>
      <c r="D1122" s="28">
        <v>0</v>
      </c>
      <c r="E1122" s="29">
        <v>3.89</v>
      </c>
      <c r="F1122" s="29">
        <v>7.01</v>
      </c>
      <c r="G1122" s="30" t="s">
        <v>39</v>
      </c>
      <c r="H1122" s="27" t="s">
        <v>94</v>
      </c>
      <c r="I1122" s="27" t="s">
        <v>49</v>
      </c>
      <c r="J1122" s="27" t="s">
        <v>72</v>
      </c>
      <c r="K1122" s="27" t="s">
        <v>73</v>
      </c>
      <c r="L1122" s="31" t="s">
        <v>726</v>
      </c>
      <c r="M1122" s="32">
        <v>0.37</v>
      </c>
      <c r="N1122" s="27" t="s">
        <v>33</v>
      </c>
      <c r="O1122" s="27" t="s">
        <v>53</v>
      </c>
      <c r="P1122" s="27" t="s">
        <v>103</v>
      </c>
      <c r="Q1122" s="27" t="s">
        <v>2102</v>
      </c>
      <c r="R1122" s="33">
        <v>60110</v>
      </c>
      <c r="S1122" s="34">
        <v>42103</v>
      </c>
      <c r="T1122" s="34">
        <v>42103</v>
      </c>
      <c r="U1122" s="29">
        <v>-255.16890000000001</v>
      </c>
      <c r="V1122" s="26">
        <v>21</v>
      </c>
      <c r="W1122" s="29">
        <v>85.64</v>
      </c>
      <c r="X1122" s="26">
        <v>87877</v>
      </c>
      <c r="Y1122" s="35">
        <v>125.99</v>
      </c>
      <c r="Z1122" s="1" t="s">
        <v>3012</v>
      </c>
      <c r="AA1122" s="36">
        <v>0</v>
      </c>
      <c r="AB1122" s="54">
        <v>53.953200000000002</v>
      </c>
      <c r="AC1122" s="54">
        <v>1.5088952380952381</v>
      </c>
      <c r="AD1122" s="36">
        <v>333.7989</v>
      </c>
    </row>
    <row r="1123" spans="1:30" s="37" customFormat="1" ht="15.75" customHeight="1" x14ac:dyDescent="0.2">
      <c r="A1123" s="26">
        <v>191</v>
      </c>
      <c r="B1123" s="27" t="s">
        <v>1121</v>
      </c>
      <c r="C1123" s="27" t="s">
        <v>3094</v>
      </c>
      <c r="D1123" s="28">
        <v>0.05</v>
      </c>
      <c r="E1123" s="29">
        <v>3.8</v>
      </c>
      <c r="F1123" s="29">
        <v>1.49</v>
      </c>
      <c r="G1123" s="30" t="s">
        <v>39</v>
      </c>
      <c r="H1123" s="27" t="s">
        <v>94</v>
      </c>
      <c r="I1123" s="27" t="s">
        <v>49</v>
      </c>
      <c r="J1123" s="27" t="s">
        <v>72</v>
      </c>
      <c r="K1123" s="27" t="s">
        <v>73</v>
      </c>
      <c r="L1123" s="31" t="s">
        <v>1192</v>
      </c>
      <c r="M1123" s="32">
        <v>0.38</v>
      </c>
      <c r="N1123" s="27" t="s">
        <v>33</v>
      </c>
      <c r="O1123" s="27" t="s">
        <v>53</v>
      </c>
      <c r="P1123" s="27" t="s">
        <v>103</v>
      </c>
      <c r="Q1123" s="27" t="s">
        <v>1123</v>
      </c>
      <c r="R1123" s="33">
        <v>60505</v>
      </c>
      <c r="S1123" s="34">
        <v>42103</v>
      </c>
      <c r="T1123" s="34">
        <v>42105</v>
      </c>
      <c r="U1123" s="29">
        <v>14.467000000000001</v>
      </c>
      <c r="V1123" s="26">
        <v>14</v>
      </c>
      <c r="W1123" s="29">
        <v>53.26</v>
      </c>
      <c r="X1123" s="26">
        <v>89093</v>
      </c>
      <c r="Y1123" s="35">
        <v>100.89</v>
      </c>
      <c r="Z1123" s="1" t="s">
        <v>3012</v>
      </c>
      <c r="AA1123" s="36">
        <v>2.66</v>
      </c>
      <c r="AB1123" s="54">
        <v>33.0212</v>
      </c>
      <c r="AC1123" s="54">
        <v>1.4456285714285715</v>
      </c>
      <c r="AD1123" s="36">
        <v>34.643000000000001</v>
      </c>
    </row>
    <row r="1124" spans="1:30" s="37" customFormat="1" ht="15.75" customHeight="1" x14ac:dyDescent="0.2">
      <c r="A1124" s="26">
        <v>2488</v>
      </c>
      <c r="B1124" s="27" t="s">
        <v>2103</v>
      </c>
      <c r="C1124" s="27" t="s">
        <v>38</v>
      </c>
      <c r="D1124" s="28">
        <v>0.08</v>
      </c>
      <c r="E1124" s="29">
        <v>4.91</v>
      </c>
      <c r="F1124" s="29">
        <v>0.5</v>
      </c>
      <c r="G1124" s="30" t="s">
        <v>39</v>
      </c>
      <c r="H1124" s="27" t="s">
        <v>40</v>
      </c>
      <c r="I1124" s="27" t="s">
        <v>49</v>
      </c>
      <c r="J1124" s="27" t="s">
        <v>152</v>
      </c>
      <c r="K1124" s="27" t="s">
        <v>73</v>
      </c>
      <c r="L1124" s="31" t="s">
        <v>973</v>
      </c>
      <c r="M1124" s="32">
        <v>0.36</v>
      </c>
      <c r="N1124" s="27" t="s">
        <v>33</v>
      </c>
      <c r="O1124" s="27" t="s">
        <v>34</v>
      </c>
      <c r="P1124" s="27" t="s">
        <v>45</v>
      </c>
      <c r="Q1124" s="27" t="s">
        <v>2104</v>
      </c>
      <c r="R1124" s="33">
        <v>72023</v>
      </c>
      <c r="S1124" s="34">
        <v>42103</v>
      </c>
      <c r="T1124" s="34">
        <v>42103</v>
      </c>
      <c r="U1124" s="29">
        <v>12.726000000000001</v>
      </c>
      <c r="V1124" s="26">
        <v>9</v>
      </c>
      <c r="W1124" s="29">
        <v>42.69</v>
      </c>
      <c r="X1124" s="26">
        <v>86887</v>
      </c>
      <c r="Y1124" s="35">
        <v>14.76</v>
      </c>
      <c r="Z1124" s="1" t="s">
        <v>3011</v>
      </c>
      <c r="AA1124" s="36">
        <v>3.5352000000000006</v>
      </c>
      <c r="AB1124" s="54">
        <v>27.3216</v>
      </c>
      <c r="AC1124" s="54">
        <v>1.7075999999999998</v>
      </c>
      <c r="AD1124" s="36">
        <v>25.928799999999995</v>
      </c>
    </row>
    <row r="1125" spans="1:30" s="37" customFormat="1" ht="15.75" customHeight="1" x14ac:dyDescent="0.2">
      <c r="A1125" s="26">
        <v>2847</v>
      </c>
      <c r="B1125" s="27" t="s">
        <v>2117</v>
      </c>
      <c r="C1125" s="27" t="s">
        <v>3094</v>
      </c>
      <c r="D1125" s="28">
        <v>0.09</v>
      </c>
      <c r="E1125" s="29">
        <v>34.99</v>
      </c>
      <c r="F1125" s="29">
        <v>7.73</v>
      </c>
      <c r="G1125" s="30" t="s">
        <v>39</v>
      </c>
      <c r="H1125" s="27" t="s">
        <v>94</v>
      </c>
      <c r="I1125" s="27" t="s">
        <v>49</v>
      </c>
      <c r="J1125" s="27" t="s">
        <v>50</v>
      </c>
      <c r="K1125" s="27" t="s">
        <v>73</v>
      </c>
      <c r="L1125" s="31" t="s">
        <v>1304</v>
      </c>
      <c r="M1125" s="32">
        <v>0.59</v>
      </c>
      <c r="N1125" s="27" t="s">
        <v>33</v>
      </c>
      <c r="O1125" s="27" t="s">
        <v>34</v>
      </c>
      <c r="P1125" s="27" t="s">
        <v>400</v>
      </c>
      <c r="Q1125" s="27" t="s">
        <v>2118</v>
      </c>
      <c r="R1125" s="33">
        <v>38017</v>
      </c>
      <c r="S1125" s="34">
        <v>42103</v>
      </c>
      <c r="T1125" s="34">
        <v>42105</v>
      </c>
      <c r="U1125" s="29">
        <v>-208.72040000000001</v>
      </c>
      <c r="V1125" s="26">
        <v>1</v>
      </c>
      <c r="W1125" s="29">
        <v>37.619999999999997</v>
      </c>
      <c r="X1125" s="26">
        <v>85928</v>
      </c>
      <c r="Y1125" s="35">
        <v>2.6999999999999997</v>
      </c>
      <c r="Z1125" s="1" t="s">
        <v>3011</v>
      </c>
      <c r="AA1125" s="36">
        <v>3.1491000000000002</v>
      </c>
      <c r="AB1125" s="54">
        <v>15.424200000000001</v>
      </c>
      <c r="AC1125" s="54">
        <v>22.195799999999998</v>
      </c>
      <c r="AD1125" s="36">
        <v>235.46130000000002</v>
      </c>
    </row>
    <row r="1126" spans="1:30" s="37" customFormat="1" ht="15.75" customHeight="1" x14ac:dyDescent="0.2">
      <c r="A1126" s="26">
        <v>115</v>
      </c>
      <c r="B1126" s="27" t="s">
        <v>2105</v>
      </c>
      <c r="C1126" s="27" t="s">
        <v>48</v>
      </c>
      <c r="D1126" s="28">
        <v>7.0000000000000007E-2</v>
      </c>
      <c r="E1126" s="29">
        <v>2.12</v>
      </c>
      <c r="F1126" s="29">
        <v>1.99</v>
      </c>
      <c r="G1126" s="30" t="s">
        <v>39</v>
      </c>
      <c r="H1126" s="27" t="s">
        <v>71</v>
      </c>
      <c r="I1126" s="27" t="s">
        <v>41</v>
      </c>
      <c r="J1126" s="27" t="s">
        <v>42</v>
      </c>
      <c r="K1126" s="27" t="s">
        <v>43</v>
      </c>
      <c r="L1126" s="31" t="s">
        <v>2106</v>
      </c>
      <c r="M1126" s="32">
        <v>0.55000000000000004</v>
      </c>
      <c r="N1126" s="27" t="s">
        <v>33</v>
      </c>
      <c r="O1126" s="27" t="s">
        <v>60</v>
      </c>
      <c r="P1126" s="27" t="s">
        <v>139</v>
      </c>
      <c r="Q1126" s="27" t="s">
        <v>2107</v>
      </c>
      <c r="R1126" s="33">
        <v>97128</v>
      </c>
      <c r="S1126" s="34">
        <v>42103</v>
      </c>
      <c r="T1126" s="34">
        <v>42105</v>
      </c>
      <c r="U1126" s="29">
        <v>-55.84</v>
      </c>
      <c r="V1126" s="26">
        <v>12</v>
      </c>
      <c r="W1126" s="29">
        <v>26.07</v>
      </c>
      <c r="X1126" s="26">
        <v>89585</v>
      </c>
      <c r="Y1126" s="35">
        <v>90.44</v>
      </c>
      <c r="Z1126" s="1" t="s">
        <v>3013</v>
      </c>
      <c r="AA1126" s="36">
        <v>1.7808000000000004</v>
      </c>
      <c r="AB1126" s="54">
        <v>11.731499999999999</v>
      </c>
      <c r="AC1126" s="54">
        <v>1.1948750000000001</v>
      </c>
      <c r="AD1126" s="36">
        <v>78.139200000000002</v>
      </c>
    </row>
    <row r="1127" spans="1:30" s="37" customFormat="1" ht="15.75" customHeight="1" x14ac:dyDescent="0.2">
      <c r="A1127" s="26">
        <v>1178</v>
      </c>
      <c r="B1127" s="27" t="s">
        <v>2099</v>
      </c>
      <c r="C1127" s="27" t="s">
        <v>38</v>
      </c>
      <c r="D1127" s="28">
        <v>0.03</v>
      </c>
      <c r="E1127" s="29">
        <v>4.4800000000000004</v>
      </c>
      <c r="F1127" s="29">
        <v>49</v>
      </c>
      <c r="G1127" s="30" t="s">
        <v>39</v>
      </c>
      <c r="H1127" s="27" t="s">
        <v>40</v>
      </c>
      <c r="I1127" s="27" t="s">
        <v>49</v>
      </c>
      <c r="J1127" s="27" t="s">
        <v>95</v>
      </c>
      <c r="K1127" s="27" t="s">
        <v>65</v>
      </c>
      <c r="L1127" s="31" t="s">
        <v>468</v>
      </c>
      <c r="M1127" s="32">
        <v>0.6</v>
      </c>
      <c r="N1127" s="27" t="s">
        <v>33</v>
      </c>
      <c r="O1127" s="27" t="s">
        <v>34</v>
      </c>
      <c r="P1127" s="27" t="s">
        <v>123</v>
      </c>
      <c r="Q1127" s="27" t="s">
        <v>2100</v>
      </c>
      <c r="R1127" s="33">
        <v>32701</v>
      </c>
      <c r="S1127" s="34">
        <v>42103</v>
      </c>
      <c r="T1127" s="34">
        <v>42105</v>
      </c>
      <c r="U1127" s="29">
        <v>64.266000000000005</v>
      </c>
      <c r="V1127" s="26">
        <v>2</v>
      </c>
      <c r="W1127" s="29">
        <v>21.46</v>
      </c>
      <c r="X1127" s="26">
        <v>89787</v>
      </c>
      <c r="Y1127" s="35">
        <v>9.75</v>
      </c>
      <c r="Z1127" s="1" t="s">
        <v>3011</v>
      </c>
      <c r="AA1127" s="36">
        <v>0.26880000000000004</v>
      </c>
      <c r="AB1127" s="54">
        <v>8.5840000000000014</v>
      </c>
      <c r="AC1127" s="54">
        <v>6.4379999999999997</v>
      </c>
      <c r="AD1127" s="36">
        <v>-92.07480000000001</v>
      </c>
    </row>
    <row r="1128" spans="1:30" s="37" customFormat="1" ht="15.75" customHeight="1" x14ac:dyDescent="0.2">
      <c r="A1128" s="26">
        <v>2334</v>
      </c>
      <c r="B1128" s="27" t="s">
        <v>2038</v>
      </c>
      <c r="C1128" s="27" t="s">
        <v>3094</v>
      </c>
      <c r="D1128" s="28">
        <v>0.08</v>
      </c>
      <c r="E1128" s="29">
        <v>2.78</v>
      </c>
      <c r="F1128" s="29">
        <v>1.25</v>
      </c>
      <c r="G1128" s="30" t="s">
        <v>39</v>
      </c>
      <c r="H1128" s="27" t="s">
        <v>3095</v>
      </c>
      <c r="I1128" s="27" t="s">
        <v>49</v>
      </c>
      <c r="J1128" s="27" t="s">
        <v>50</v>
      </c>
      <c r="K1128" s="27" t="s">
        <v>51</v>
      </c>
      <c r="L1128" s="31" t="s">
        <v>382</v>
      </c>
      <c r="M1128" s="32">
        <v>0.59</v>
      </c>
      <c r="N1128" s="27" t="s">
        <v>33</v>
      </c>
      <c r="O1128" s="27" t="s">
        <v>53</v>
      </c>
      <c r="P1128" s="27" t="s">
        <v>357</v>
      </c>
      <c r="Q1128" s="27" t="s">
        <v>2039</v>
      </c>
      <c r="R1128" s="33">
        <v>53220</v>
      </c>
      <c r="S1128" s="34">
        <v>42103</v>
      </c>
      <c r="T1128" s="34">
        <v>42104</v>
      </c>
      <c r="U1128" s="29">
        <v>-8.77</v>
      </c>
      <c r="V1128" s="26">
        <v>7</v>
      </c>
      <c r="W1128" s="29">
        <v>19.46</v>
      </c>
      <c r="X1128" s="26">
        <v>89609</v>
      </c>
      <c r="Y1128" s="35">
        <v>34.9</v>
      </c>
      <c r="Z1128" s="1" t="s">
        <v>3012</v>
      </c>
      <c r="AA1128" s="36">
        <v>1.5568</v>
      </c>
      <c r="AB1128" s="54">
        <v>7.978600000000001</v>
      </c>
      <c r="AC1128" s="54">
        <v>1.6402000000000001</v>
      </c>
      <c r="AD1128" s="36">
        <v>25.423200000000001</v>
      </c>
    </row>
    <row r="1129" spans="1:30" s="37" customFormat="1" ht="15.75" customHeight="1" x14ac:dyDescent="0.2">
      <c r="A1129" s="26">
        <v>1104</v>
      </c>
      <c r="B1129" s="27" t="s">
        <v>2127</v>
      </c>
      <c r="C1129" s="27" t="s">
        <v>3094</v>
      </c>
      <c r="D1129" s="28">
        <v>0.05</v>
      </c>
      <c r="E1129" s="29">
        <v>328.14</v>
      </c>
      <c r="F1129" s="29">
        <v>91.05</v>
      </c>
      <c r="G1129" s="30" t="s">
        <v>27</v>
      </c>
      <c r="H1129" s="27" t="s">
        <v>71</v>
      </c>
      <c r="I1129" s="27" t="s">
        <v>49</v>
      </c>
      <c r="J1129" s="27" t="s">
        <v>95</v>
      </c>
      <c r="K1129" s="27" t="s">
        <v>58</v>
      </c>
      <c r="L1129" s="31" t="s">
        <v>583</v>
      </c>
      <c r="M1129" s="32">
        <v>0.56999999999999995</v>
      </c>
      <c r="N1129" s="27" t="s">
        <v>33</v>
      </c>
      <c r="O1129" s="27" t="s">
        <v>111</v>
      </c>
      <c r="P1129" s="27" t="s">
        <v>112</v>
      </c>
      <c r="Q1129" s="27" t="s">
        <v>113</v>
      </c>
      <c r="R1129" s="33">
        <v>10282</v>
      </c>
      <c r="S1129" s="34">
        <v>42104</v>
      </c>
      <c r="T1129" s="34">
        <v>42105</v>
      </c>
      <c r="U1129" s="29">
        <v>772.04</v>
      </c>
      <c r="V1129" s="26">
        <v>29</v>
      </c>
      <c r="W1129" s="29">
        <v>9492.92</v>
      </c>
      <c r="X1129" s="26">
        <v>27456</v>
      </c>
      <c r="Y1129" s="35">
        <v>9.01</v>
      </c>
      <c r="Z1129" s="1" t="s">
        <v>3014</v>
      </c>
      <c r="AA1129" s="36">
        <v>475.803</v>
      </c>
      <c r="AB1129" s="54">
        <v>4081.9556000000007</v>
      </c>
      <c r="AC1129" s="54">
        <v>186.58497931034481</v>
      </c>
      <c r="AD1129" s="36">
        <v>8154.027</v>
      </c>
    </row>
    <row r="1130" spans="1:30" s="37" customFormat="1" ht="15.75" customHeight="1" x14ac:dyDescent="0.2">
      <c r="A1130" s="26">
        <v>1103</v>
      </c>
      <c r="B1130" s="27" t="s">
        <v>2125</v>
      </c>
      <c r="C1130" s="27" t="s">
        <v>3094</v>
      </c>
      <c r="D1130" s="28">
        <v>0.05</v>
      </c>
      <c r="E1130" s="29">
        <v>328.14</v>
      </c>
      <c r="F1130" s="29">
        <v>91.05</v>
      </c>
      <c r="G1130" s="30" t="s">
        <v>27</v>
      </c>
      <c r="H1130" s="27" t="s">
        <v>71</v>
      </c>
      <c r="I1130" s="27" t="s">
        <v>49</v>
      </c>
      <c r="J1130" s="27" t="s">
        <v>95</v>
      </c>
      <c r="K1130" s="27" t="s">
        <v>58</v>
      </c>
      <c r="L1130" s="31" t="s">
        <v>583</v>
      </c>
      <c r="M1130" s="32">
        <v>0.56999999999999995</v>
      </c>
      <c r="N1130" s="27" t="s">
        <v>33</v>
      </c>
      <c r="O1130" s="27" t="s">
        <v>53</v>
      </c>
      <c r="P1130" s="27" t="s">
        <v>133</v>
      </c>
      <c r="Q1130" s="27" t="s">
        <v>2126</v>
      </c>
      <c r="R1130" s="33">
        <v>68046</v>
      </c>
      <c r="S1130" s="34">
        <v>42104</v>
      </c>
      <c r="T1130" s="34">
        <v>42105</v>
      </c>
      <c r="U1130" s="29">
        <v>772.04</v>
      </c>
      <c r="V1130" s="26">
        <v>7</v>
      </c>
      <c r="W1130" s="29">
        <v>2291.39</v>
      </c>
      <c r="X1130" s="26">
        <v>90977</v>
      </c>
      <c r="Y1130" s="35">
        <v>15.96</v>
      </c>
      <c r="Z1130" s="1" t="s">
        <v>3012</v>
      </c>
      <c r="AA1130" s="36">
        <v>114.849</v>
      </c>
      <c r="AB1130" s="54">
        <v>985.29770000000008</v>
      </c>
      <c r="AC1130" s="54">
        <v>186.58461428571425</v>
      </c>
      <c r="AD1130" s="36">
        <v>1313.451</v>
      </c>
    </row>
    <row r="1131" spans="1:30" s="37" customFormat="1" ht="15.75" customHeight="1" x14ac:dyDescent="0.2">
      <c r="A1131" s="26">
        <v>2684</v>
      </c>
      <c r="B1131" s="27" t="s">
        <v>1207</v>
      </c>
      <c r="C1131" s="27" t="s">
        <v>48</v>
      </c>
      <c r="D1131" s="28">
        <v>0.03</v>
      </c>
      <c r="E1131" s="29">
        <v>65.989999999999995</v>
      </c>
      <c r="F1131" s="29">
        <v>8.8000000000000007</v>
      </c>
      <c r="G1131" s="30" t="s">
        <v>39</v>
      </c>
      <c r="H1131" s="27" t="s">
        <v>3095</v>
      </c>
      <c r="I1131" s="27" t="s">
        <v>41</v>
      </c>
      <c r="J1131" s="27" t="s">
        <v>135</v>
      </c>
      <c r="K1131" s="27" t="s">
        <v>73</v>
      </c>
      <c r="L1131" s="31" t="s">
        <v>452</v>
      </c>
      <c r="M1131" s="32">
        <v>0.57999999999999996</v>
      </c>
      <c r="N1131" s="27" t="s">
        <v>33</v>
      </c>
      <c r="O1131" s="27" t="s">
        <v>34</v>
      </c>
      <c r="P1131" s="27" t="s">
        <v>123</v>
      </c>
      <c r="Q1131" s="27" t="s">
        <v>1208</v>
      </c>
      <c r="R1131" s="33">
        <v>33952</v>
      </c>
      <c r="S1131" s="34">
        <v>42104</v>
      </c>
      <c r="T1131" s="34">
        <v>42104</v>
      </c>
      <c r="U1131" s="29">
        <v>9.9398999999999997</v>
      </c>
      <c r="V1131" s="26">
        <v>21</v>
      </c>
      <c r="W1131" s="29">
        <v>1237.4000000000001</v>
      </c>
      <c r="X1131" s="26">
        <v>89148</v>
      </c>
      <c r="Y1131" s="35">
        <v>35.849999999999994</v>
      </c>
      <c r="Z1131" s="1" t="s">
        <v>3011</v>
      </c>
      <c r="AA1131" s="36">
        <v>41.573699999999995</v>
      </c>
      <c r="AB1131" s="54">
        <v>519.70800000000008</v>
      </c>
      <c r="AC1131" s="54">
        <v>34.175809523809527</v>
      </c>
      <c r="AD1131" s="36">
        <v>1177.0864000000001</v>
      </c>
    </row>
    <row r="1132" spans="1:30" s="37" customFormat="1" ht="15.75" customHeight="1" x14ac:dyDescent="0.2">
      <c r="A1132" s="26">
        <v>3191</v>
      </c>
      <c r="B1132" s="27" t="s">
        <v>1706</v>
      </c>
      <c r="C1132" s="27" t="s">
        <v>38</v>
      </c>
      <c r="D1132" s="28">
        <v>0.09</v>
      </c>
      <c r="E1132" s="29">
        <v>35.94</v>
      </c>
      <c r="F1132" s="29">
        <v>6.66</v>
      </c>
      <c r="G1132" s="30" t="s">
        <v>39</v>
      </c>
      <c r="H1132" s="27" t="s">
        <v>94</v>
      </c>
      <c r="I1132" s="27" t="s">
        <v>49</v>
      </c>
      <c r="J1132" s="27" t="s">
        <v>345</v>
      </c>
      <c r="K1132" s="27" t="s">
        <v>73</v>
      </c>
      <c r="L1132" s="31" t="s">
        <v>2122</v>
      </c>
      <c r="M1132" s="32">
        <v>0.4</v>
      </c>
      <c r="N1132" s="27" t="s">
        <v>33</v>
      </c>
      <c r="O1132" s="27" t="s">
        <v>53</v>
      </c>
      <c r="P1132" s="27" t="s">
        <v>357</v>
      </c>
      <c r="Q1132" s="27" t="s">
        <v>1707</v>
      </c>
      <c r="R1132" s="33">
        <v>54481</v>
      </c>
      <c r="S1132" s="34">
        <v>42104</v>
      </c>
      <c r="T1132" s="34">
        <v>42106</v>
      </c>
      <c r="U1132" s="29">
        <v>172.56440000000001</v>
      </c>
      <c r="V1132" s="26">
        <v>9</v>
      </c>
      <c r="W1132" s="29">
        <v>312.22000000000003</v>
      </c>
      <c r="X1132" s="26">
        <v>86448</v>
      </c>
      <c r="Y1132" s="35">
        <v>4.8999999999999995</v>
      </c>
      <c r="Z1132" s="1" t="s">
        <v>3012</v>
      </c>
      <c r="AA1132" s="36">
        <v>29.111399999999996</v>
      </c>
      <c r="AB1132" s="54">
        <v>187.33200000000002</v>
      </c>
      <c r="AC1132" s="54">
        <v>13.876444444444445</v>
      </c>
      <c r="AD1132" s="36">
        <v>103.88420000000002</v>
      </c>
    </row>
    <row r="1133" spans="1:30" s="37" customFormat="1" ht="15.75" customHeight="1" x14ac:dyDescent="0.2">
      <c r="A1133" s="26">
        <v>1185</v>
      </c>
      <c r="B1133" s="27" t="s">
        <v>1782</v>
      </c>
      <c r="C1133" s="27" t="s">
        <v>3094</v>
      </c>
      <c r="D1133" s="28">
        <v>0.08</v>
      </c>
      <c r="E1133" s="29">
        <v>11.7</v>
      </c>
      <c r="F1133" s="29">
        <v>6.96</v>
      </c>
      <c r="G1133" s="30" t="s">
        <v>39</v>
      </c>
      <c r="H1133" s="27" t="s">
        <v>40</v>
      </c>
      <c r="I1133" s="27" t="s">
        <v>49</v>
      </c>
      <c r="J1133" s="27" t="s">
        <v>95</v>
      </c>
      <c r="K1133" s="27" t="s">
        <v>144</v>
      </c>
      <c r="L1133" s="31" t="s">
        <v>760</v>
      </c>
      <c r="M1133" s="32">
        <v>0.5</v>
      </c>
      <c r="N1133" s="27" t="s">
        <v>33</v>
      </c>
      <c r="O1133" s="27" t="s">
        <v>34</v>
      </c>
      <c r="P1133" s="27" t="s">
        <v>164</v>
      </c>
      <c r="Q1133" s="27" t="s">
        <v>358</v>
      </c>
      <c r="R1133" s="33">
        <v>35756</v>
      </c>
      <c r="S1133" s="34">
        <v>42104</v>
      </c>
      <c r="T1133" s="34">
        <v>42107</v>
      </c>
      <c r="U1133" s="29">
        <v>28.565999999999999</v>
      </c>
      <c r="V1133" s="26">
        <v>8</v>
      </c>
      <c r="W1133" s="29">
        <v>87.8</v>
      </c>
      <c r="X1133" s="26">
        <v>85940</v>
      </c>
      <c r="Y1133" s="35">
        <v>2.5300000000000002</v>
      </c>
      <c r="Z1133" s="1" t="s">
        <v>3011</v>
      </c>
      <c r="AA1133" s="36">
        <v>7.4879999999999995</v>
      </c>
      <c r="AB1133" s="54">
        <v>43.9</v>
      </c>
      <c r="AC1133" s="54">
        <v>5.4874999999999998</v>
      </c>
      <c r="AD1133" s="36">
        <v>44.786000000000001</v>
      </c>
    </row>
    <row r="1134" spans="1:30" s="37" customFormat="1" ht="15.75" customHeight="1" x14ac:dyDescent="0.2">
      <c r="A1134" s="26">
        <v>2999</v>
      </c>
      <c r="B1134" s="27" t="s">
        <v>2128</v>
      </c>
      <c r="C1134" s="27" t="s">
        <v>3094</v>
      </c>
      <c r="D1134" s="28">
        <v>0.03</v>
      </c>
      <c r="E1134" s="29">
        <v>10.98</v>
      </c>
      <c r="F1134" s="29">
        <v>3.37</v>
      </c>
      <c r="G1134" s="30" t="s">
        <v>39</v>
      </c>
      <c r="H1134" s="27" t="s">
        <v>40</v>
      </c>
      <c r="I1134" s="27" t="s">
        <v>49</v>
      </c>
      <c r="J1134" s="27" t="s">
        <v>568</v>
      </c>
      <c r="K1134" s="27" t="s">
        <v>43</v>
      </c>
      <c r="L1134" s="31" t="s">
        <v>2129</v>
      </c>
      <c r="M1134" s="32">
        <v>0.56999999999999995</v>
      </c>
      <c r="N1134" s="27" t="s">
        <v>33</v>
      </c>
      <c r="O1134" s="27" t="s">
        <v>53</v>
      </c>
      <c r="P1134" s="27" t="s">
        <v>289</v>
      </c>
      <c r="Q1134" s="27" t="s">
        <v>2130</v>
      </c>
      <c r="R1134" s="33">
        <v>48237</v>
      </c>
      <c r="S1134" s="34">
        <v>42104</v>
      </c>
      <c r="T1134" s="34">
        <v>42105</v>
      </c>
      <c r="U1134" s="29">
        <v>11.82</v>
      </c>
      <c r="V1134" s="26">
        <v>5</v>
      </c>
      <c r="W1134" s="29">
        <v>56.19</v>
      </c>
      <c r="X1134" s="26">
        <v>87041</v>
      </c>
      <c r="Y1134" s="35">
        <v>65.959999999999994</v>
      </c>
      <c r="Z1134" s="1" t="s">
        <v>3012</v>
      </c>
      <c r="AA1134" s="36">
        <v>1.6470000000000002</v>
      </c>
      <c r="AB1134" s="54">
        <v>24.161700000000003</v>
      </c>
      <c r="AC1134" s="54">
        <v>6.4056599999999992</v>
      </c>
      <c r="AD1134" s="36">
        <v>39.352999999999994</v>
      </c>
    </row>
    <row r="1135" spans="1:30" s="37" customFormat="1" ht="15.75" customHeight="1" x14ac:dyDescent="0.2">
      <c r="A1135" s="26">
        <v>2430</v>
      </c>
      <c r="B1135" s="27" t="s">
        <v>1837</v>
      </c>
      <c r="C1135" s="27" t="s">
        <v>3094</v>
      </c>
      <c r="D1135" s="28">
        <v>0.04</v>
      </c>
      <c r="E1135" s="29">
        <v>7.08</v>
      </c>
      <c r="F1135" s="29">
        <v>2.35</v>
      </c>
      <c r="G1135" s="30" t="s">
        <v>39</v>
      </c>
      <c r="H1135" s="27" t="s">
        <v>71</v>
      </c>
      <c r="I1135" s="27" t="s">
        <v>49</v>
      </c>
      <c r="J1135" s="27" t="s">
        <v>50</v>
      </c>
      <c r="K1135" s="27" t="s">
        <v>51</v>
      </c>
      <c r="L1135" s="31" t="s">
        <v>1913</v>
      </c>
      <c r="M1135" s="32">
        <v>0.47</v>
      </c>
      <c r="N1135" s="27" t="s">
        <v>33</v>
      </c>
      <c r="O1135" s="27" t="s">
        <v>53</v>
      </c>
      <c r="P1135" s="27" t="s">
        <v>187</v>
      </c>
      <c r="Q1135" s="27" t="s">
        <v>1838</v>
      </c>
      <c r="R1135" s="33">
        <v>76541</v>
      </c>
      <c r="S1135" s="34">
        <v>42104</v>
      </c>
      <c r="T1135" s="34">
        <v>42105</v>
      </c>
      <c r="U1135" s="29">
        <v>24.59</v>
      </c>
      <c r="V1135" s="26">
        <v>7</v>
      </c>
      <c r="W1135" s="29">
        <v>49.1</v>
      </c>
      <c r="X1135" s="26">
        <v>91109</v>
      </c>
      <c r="Y1135" s="35">
        <v>328.09</v>
      </c>
      <c r="Z1135" s="1" t="s">
        <v>3012</v>
      </c>
      <c r="AA1135" s="36">
        <v>1.9824000000000002</v>
      </c>
      <c r="AB1135" s="54">
        <v>26.023000000000003</v>
      </c>
      <c r="AC1135" s="54">
        <v>3.2967142857142857</v>
      </c>
      <c r="AD1135" s="36">
        <v>20.177599999999998</v>
      </c>
    </row>
    <row r="1136" spans="1:30" s="37" customFormat="1" ht="15.75" customHeight="1" x14ac:dyDescent="0.2">
      <c r="A1136" s="26">
        <v>451</v>
      </c>
      <c r="B1136" s="27" t="s">
        <v>219</v>
      </c>
      <c r="C1136" s="27" t="s">
        <v>38</v>
      </c>
      <c r="D1136" s="28">
        <v>0.03</v>
      </c>
      <c r="E1136" s="29">
        <v>15.99</v>
      </c>
      <c r="F1136" s="29">
        <v>11.28</v>
      </c>
      <c r="G1136" s="30" t="s">
        <v>39</v>
      </c>
      <c r="H1136" s="27" t="s">
        <v>71</v>
      </c>
      <c r="I1136" s="27" t="s">
        <v>41</v>
      </c>
      <c r="J1136" s="27" t="s">
        <v>57</v>
      </c>
      <c r="K1136" s="27" t="s">
        <v>144</v>
      </c>
      <c r="L1136" s="31" t="s">
        <v>1206</v>
      </c>
      <c r="M1136" s="32">
        <v>0.38</v>
      </c>
      <c r="N1136" s="27" t="s">
        <v>33</v>
      </c>
      <c r="O1136" s="27" t="s">
        <v>60</v>
      </c>
      <c r="P1136" s="27" t="s">
        <v>90</v>
      </c>
      <c r="Q1136" s="27" t="s">
        <v>221</v>
      </c>
      <c r="R1136" s="33">
        <v>94024</v>
      </c>
      <c r="S1136" s="34">
        <v>42104</v>
      </c>
      <c r="T1136" s="34">
        <v>42105</v>
      </c>
      <c r="U1136" s="29">
        <v>-53.296199999999999</v>
      </c>
      <c r="V1136" s="26">
        <v>2</v>
      </c>
      <c r="W1136" s="29">
        <v>35.479999999999997</v>
      </c>
      <c r="X1136" s="26">
        <v>86010</v>
      </c>
      <c r="Y1136" s="35">
        <v>328.09</v>
      </c>
      <c r="Z1136" s="1" t="s">
        <v>3013</v>
      </c>
      <c r="AA1136" s="36">
        <v>0.95940000000000003</v>
      </c>
      <c r="AB1136" s="54">
        <v>21.997599999999998</v>
      </c>
      <c r="AC1136" s="54">
        <v>6.7411999999999992</v>
      </c>
      <c r="AD1136" s="36">
        <v>76.536799999999999</v>
      </c>
    </row>
    <row r="1137" spans="1:30" s="37" customFormat="1" ht="15.75" customHeight="1" x14ac:dyDescent="0.2">
      <c r="A1137" s="26">
        <v>2684</v>
      </c>
      <c r="B1137" s="27" t="s">
        <v>1207</v>
      </c>
      <c r="C1137" s="27" t="s">
        <v>48</v>
      </c>
      <c r="D1137" s="28">
        <v>0.09</v>
      </c>
      <c r="E1137" s="29">
        <v>2.62</v>
      </c>
      <c r="F1137" s="29">
        <v>0.8</v>
      </c>
      <c r="G1137" s="30" t="s">
        <v>39</v>
      </c>
      <c r="H1137" s="27" t="s">
        <v>3095</v>
      </c>
      <c r="I1137" s="27" t="s">
        <v>49</v>
      </c>
      <c r="J1137" s="27" t="s">
        <v>176</v>
      </c>
      <c r="K1137" s="27" t="s">
        <v>51</v>
      </c>
      <c r="L1137" s="31" t="s">
        <v>2124</v>
      </c>
      <c r="M1137" s="32">
        <v>0.39</v>
      </c>
      <c r="N1137" s="27" t="s">
        <v>33</v>
      </c>
      <c r="O1137" s="27" t="s">
        <v>34</v>
      </c>
      <c r="P1137" s="27" t="s">
        <v>123</v>
      </c>
      <c r="Q1137" s="27" t="s">
        <v>1208</v>
      </c>
      <c r="R1137" s="33">
        <v>33952</v>
      </c>
      <c r="S1137" s="34">
        <v>42104</v>
      </c>
      <c r="T1137" s="34">
        <v>42106</v>
      </c>
      <c r="U1137" s="29">
        <v>8.3879999999999999</v>
      </c>
      <c r="V1137" s="26">
        <v>12</v>
      </c>
      <c r="W1137" s="29">
        <v>29.55</v>
      </c>
      <c r="X1137" s="26">
        <v>89148</v>
      </c>
      <c r="Y1137" s="35">
        <v>11.62</v>
      </c>
      <c r="Z1137" s="1" t="s">
        <v>3011</v>
      </c>
      <c r="AA1137" s="36">
        <v>2.8296000000000001</v>
      </c>
      <c r="AB1137" s="54">
        <v>18.025500000000001</v>
      </c>
      <c r="AC1137" s="54">
        <v>0.96037499999999998</v>
      </c>
      <c r="AD1137" s="36">
        <v>17.532399999999999</v>
      </c>
    </row>
    <row r="1138" spans="1:30" s="37" customFormat="1" ht="15.75" customHeight="1" x14ac:dyDescent="0.2">
      <c r="A1138" s="26">
        <v>2684</v>
      </c>
      <c r="B1138" s="27" t="s">
        <v>1207</v>
      </c>
      <c r="C1138" s="27" t="s">
        <v>48</v>
      </c>
      <c r="D1138" s="28">
        <v>7.0000000000000007E-2</v>
      </c>
      <c r="E1138" s="29">
        <v>4.97</v>
      </c>
      <c r="F1138" s="29">
        <v>5.71</v>
      </c>
      <c r="G1138" s="30" t="s">
        <v>39</v>
      </c>
      <c r="H1138" s="27" t="s">
        <v>3095</v>
      </c>
      <c r="I1138" s="27" t="s">
        <v>29</v>
      </c>
      <c r="J1138" s="27" t="s">
        <v>126</v>
      </c>
      <c r="K1138" s="27" t="s">
        <v>144</v>
      </c>
      <c r="L1138" s="31" t="s">
        <v>2123</v>
      </c>
      <c r="M1138" s="32">
        <v>0.54</v>
      </c>
      <c r="N1138" s="27" t="s">
        <v>33</v>
      </c>
      <c r="O1138" s="27" t="s">
        <v>34</v>
      </c>
      <c r="P1138" s="27" t="s">
        <v>123</v>
      </c>
      <c r="Q1138" s="27" t="s">
        <v>1208</v>
      </c>
      <c r="R1138" s="33">
        <v>33952</v>
      </c>
      <c r="S1138" s="34">
        <v>42104</v>
      </c>
      <c r="T1138" s="34">
        <v>42109</v>
      </c>
      <c r="U1138" s="29">
        <v>-180.15199999999999</v>
      </c>
      <c r="V1138" s="26">
        <v>5</v>
      </c>
      <c r="W1138" s="29">
        <v>26.66</v>
      </c>
      <c r="X1138" s="26">
        <v>89148</v>
      </c>
      <c r="Y1138" s="35">
        <v>7.04</v>
      </c>
      <c r="Z1138" s="1" t="s">
        <v>3011</v>
      </c>
      <c r="AA1138" s="36">
        <v>1.7395000000000003</v>
      </c>
      <c r="AB1138" s="54">
        <v>12.263599999999999</v>
      </c>
      <c r="AC1138" s="54">
        <v>2.8792800000000001</v>
      </c>
      <c r="AD1138" s="36">
        <v>199.36249999999998</v>
      </c>
    </row>
    <row r="1139" spans="1:30" s="37" customFormat="1" ht="15.75" customHeight="1" x14ac:dyDescent="0.2">
      <c r="A1139" s="26">
        <v>1602</v>
      </c>
      <c r="B1139" s="27" t="s">
        <v>2120</v>
      </c>
      <c r="C1139" s="27" t="s">
        <v>26</v>
      </c>
      <c r="D1139" s="28">
        <v>0.1</v>
      </c>
      <c r="E1139" s="29">
        <v>9.11</v>
      </c>
      <c r="F1139" s="29">
        <v>2.15</v>
      </c>
      <c r="G1139" s="30" t="s">
        <v>39</v>
      </c>
      <c r="H1139" s="27" t="s">
        <v>71</v>
      </c>
      <c r="I1139" s="27" t="s">
        <v>49</v>
      </c>
      <c r="J1139" s="27" t="s">
        <v>88</v>
      </c>
      <c r="K1139" s="27" t="s">
        <v>51</v>
      </c>
      <c r="L1139" s="31" t="s">
        <v>89</v>
      </c>
      <c r="M1139" s="32">
        <v>0.4</v>
      </c>
      <c r="N1139" s="27" t="s">
        <v>33</v>
      </c>
      <c r="O1139" s="27" t="s">
        <v>111</v>
      </c>
      <c r="P1139" s="27" t="s">
        <v>418</v>
      </c>
      <c r="Q1139" s="27" t="s">
        <v>2121</v>
      </c>
      <c r="R1139" s="33">
        <v>20601</v>
      </c>
      <c r="S1139" s="34">
        <v>42104</v>
      </c>
      <c r="T1139" s="34">
        <v>42106</v>
      </c>
      <c r="U1139" s="29">
        <v>-3.9312</v>
      </c>
      <c r="V1139" s="26">
        <v>2</v>
      </c>
      <c r="W1139" s="29">
        <v>17.420000000000002</v>
      </c>
      <c r="X1139" s="26">
        <v>89680</v>
      </c>
      <c r="Y1139" s="35">
        <v>10.950000000000001</v>
      </c>
      <c r="Z1139" s="1" t="s">
        <v>3014</v>
      </c>
      <c r="AA1139" s="36">
        <v>1.8220000000000001</v>
      </c>
      <c r="AB1139" s="54">
        <v>10.452</v>
      </c>
      <c r="AC1139" s="54">
        <v>3.4840000000000004</v>
      </c>
      <c r="AD1139" s="36">
        <v>17.379200000000001</v>
      </c>
    </row>
    <row r="1140" spans="1:30" s="37" customFormat="1" ht="15.75" customHeight="1" x14ac:dyDescent="0.2">
      <c r="A1140" s="26">
        <v>369</v>
      </c>
      <c r="B1140" s="27" t="s">
        <v>2135</v>
      </c>
      <c r="C1140" s="27" t="s">
        <v>48</v>
      </c>
      <c r="D1140" s="28">
        <v>0.09</v>
      </c>
      <c r="E1140" s="29">
        <v>19.23</v>
      </c>
      <c r="F1140" s="29">
        <v>6.15</v>
      </c>
      <c r="G1140" s="30" t="s">
        <v>87</v>
      </c>
      <c r="H1140" s="27" t="s">
        <v>94</v>
      </c>
      <c r="I1140" s="27" t="s">
        <v>29</v>
      </c>
      <c r="J1140" s="27" t="s">
        <v>126</v>
      </c>
      <c r="K1140" s="27" t="s">
        <v>43</v>
      </c>
      <c r="L1140" s="31" t="s">
        <v>1277</v>
      </c>
      <c r="M1140" s="32">
        <v>0.44</v>
      </c>
      <c r="N1140" s="27" t="s">
        <v>33</v>
      </c>
      <c r="O1140" s="27" t="s">
        <v>60</v>
      </c>
      <c r="P1140" s="27" t="s">
        <v>90</v>
      </c>
      <c r="Q1140" s="27" t="s">
        <v>2136</v>
      </c>
      <c r="R1140" s="33">
        <v>94601</v>
      </c>
      <c r="S1140" s="34">
        <v>42105</v>
      </c>
      <c r="T1140" s="34">
        <v>42107</v>
      </c>
      <c r="U1140" s="29">
        <v>211.232</v>
      </c>
      <c r="V1140" s="26">
        <v>21</v>
      </c>
      <c r="W1140" s="29">
        <v>394.1</v>
      </c>
      <c r="X1140" s="26">
        <v>90292</v>
      </c>
      <c r="Y1140" s="35">
        <v>5.77</v>
      </c>
      <c r="Z1140" s="1" t="s">
        <v>3013</v>
      </c>
      <c r="AA1140" s="36">
        <v>36.344699999999996</v>
      </c>
      <c r="AB1140" s="54">
        <v>220.69600000000003</v>
      </c>
      <c r="AC1140" s="54">
        <v>8.2573333333333352</v>
      </c>
      <c r="AD1140" s="36">
        <v>140.37330000000003</v>
      </c>
    </row>
    <row r="1141" spans="1:30" s="37" customFormat="1" ht="15.75" customHeight="1" x14ac:dyDescent="0.2">
      <c r="A1141" s="26">
        <v>1712</v>
      </c>
      <c r="B1141" s="27" t="s">
        <v>2137</v>
      </c>
      <c r="C1141" s="27" t="s">
        <v>48</v>
      </c>
      <c r="D1141" s="28">
        <v>0.03</v>
      </c>
      <c r="E1141" s="29">
        <v>11.66</v>
      </c>
      <c r="F1141" s="29">
        <v>7.95</v>
      </c>
      <c r="G1141" s="30" t="s">
        <v>39</v>
      </c>
      <c r="H1141" s="27" t="s">
        <v>94</v>
      </c>
      <c r="I1141" s="27" t="s">
        <v>49</v>
      </c>
      <c r="J1141" s="27" t="s">
        <v>50</v>
      </c>
      <c r="K1141" s="27" t="s">
        <v>43</v>
      </c>
      <c r="L1141" s="31" t="s">
        <v>2138</v>
      </c>
      <c r="M1141" s="32">
        <v>0.57999999999999996</v>
      </c>
      <c r="N1141" s="27" t="s">
        <v>33</v>
      </c>
      <c r="O1141" s="27" t="s">
        <v>34</v>
      </c>
      <c r="P1141" s="27" t="s">
        <v>75</v>
      </c>
      <c r="Q1141" s="27" t="s">
        <v>2139</v>
      </c>
      <c r="R1141" s="33">
        <v>30907</v>
      </c>
      <c r="S1141" s="34">
        <v>42105</v>
      </c>
      <c r="T1141" s="34">
        <v>42114</v>
      </c>
      <c r="U1141" s="29">
        <v>-31.094000000000001</v>
      </c>
      <c r="V1141" s="26">
        <v>22</v>
      </c>
      <c r="W1141" s="29">
        <v>267.32</v>
      </c>
      <c r="X1141" s="26">
        <v>87749</v>
      </c>
      <c r="Y1141" s="35">
        <v>12.22</v>
      </c>
      <c r="Z1141" s="1" t="s">
        <v>3011</v>
      </c>
      <c r="AA1141" s="36">
        <v>7.6955999999999998</v>
      </c>
      <c r="AB1141" s="54">
        <v>112.27440000000001</v>
      </c>
      <c r="AC1141" s="54">
        <v>7.0475272727272715</v>
      </c>
      <c r="AD1141" s="36">
        <v>282.76839999999999</v>
      </c>
    </row>
    <row r="1142" spans="1:30" s="37" customFormat="1" ht="15.75" customHeight="1" x14ac:dyDescent="0.2">
      <c r="A1142" s="26">
        <v>2862</v>
      </c>
      <c r="B1142" s="27" t="s">
        <v>2134</v>
      </c>
      <c r="C1142" s="27" t="s">
        <v>38</v>
      </c>
      <c r="D1142" s="28">
        <v>0</v>
      </c>
      <c r="E1142" s="29">
        <v>12.22</v>
      </c>
      <c r="F1142" s="29">
        <v>2.85</v>
      </c>
      <c r="G1142" s="30" t="s">
        <v>39</v>
      </c>
      <c r="H1142" s="27" t="s">
        <v>94</v>
      </c>
      <c r="I1142" s="27" t="s">
        <v>29</v>
      </c>
      <c r="J1142" s="27" t="s">
        <v>126</v>
      </c>
      <c r="K1142" s="27" t="s">
        <v>43</v>
      </c>
      <c r="L1142" s="31" t="s">
        <v>2086</v>
      </c>
      <c r="M1142" s="32">
        <v>0.55000000000000004</v>
      </c>
      <c r="N1142" s="27" t="s">
        <v>33</v>
      </c>
      <c r="O1142" s="27" t="s">
        <v>53</v>
      </c>
      <c r="P1142" s="27" t="s">
        <v>133</v>
      </c>
      <c r="Q1142" s="27" t="s">
        <v>2041</v>
      </c>
      <c r="R1142" s="33">
        <v>68128</v>
      </c>
      <c r="S1142" s="34">
        <v>42105</v>
      </c>
      <c r="T1142" s="34">
        <v>42106</v>
      </c>
      <c r="U1142" s="29">
        <v>76.389899999999997</v>
      </c>
      <c r="V1142" s="26">
        <v>9</v>
      </c>
      <c r="W1142" s="29">
        <v>110.71</v>
      </c>
      <c r="X1142" s="26">
        <v>88278</v>
      </c>
      <c r="Y1142" s="35">
        <v>19.14</v>
      </c>
      <c r="Z1142" s="1" t="s">
        <v>3012</v>
      </c>
      <c r="AA1142" s="36">
        <v>0</v>
      </c>
      <c r="AB1142" s="54">
        <v>49.819499999999991</v>
      </c>
      <c r="AC1142" s="54">
        <v>6.7656111111111112</v>
      </c>
      <c r="AD1142" s="36">
        <v>31.470100000000002</v>
      </c>
    </row>
    <row r="1143" spans="1:30" s="37" customFormat="1" ht="15.75" customHeight="1" x14ac:dyDescent="0.2">
      <c r="A1143" s="26">
        <v>445</v>
      </c>
      <c r="B1143" s="27" t="s">
        <v>2142</v>
      </c>
      <c r="C1143" s="27" t="s">
        <v>3094</v>
      </c>
      <c r="D1143" s="28">
        <v>0.03</v>
      </c>
      <c r="E1143" s="29">
        <v>48.04</v>
      </c>
      <c r="F1143" s="29">
        <v>19.989999999999998</v>
      </c>
      <c r="G1143" s="30" t="s">
        <v>39</v>
      </c>
      <c r="H1143" s="27" t="s">
        <v>3095</v>
      </c>
      <c r="I1143" s="27" t="s">
        <v>49</v>
      </c>
      <c r="J1143" s="27" t="s">
        <v>88</v>
      </c>
      <c r="K1143" s="27" t="s">
        <v>73</v>
      </c>
      <c r="L1143" s="31" t="s">
        <v>2143</v>
      </c>
      <c r="M1143" s="32">
        <v>0.37</v>
      </c>
      <c r="N1143" s="27" t="s">
        <v>33</v>
      </c>
      <c r="O1143" s="27" t="s">
        <v>53</v>
      </c>
      <c r="P1143" s="27" t="s">
        <v>133</v>
      </c>
      <c r="Q1143" s="27" t="s">
        <v>1377</v>
      </c>
      <c r="R1143" s="33">
        <v>68701</v>
      </c>
      <c r="S1143" s="34">
        <v>42105</v>
      </c>
      <c r="T1143" s="34">
        <v>42107</v>
      </c>
      <c r="U1143" s="29">
        <v>-4.46</v>
      </c>
      <c r="V1143" s="26">
        <v>2</v>
      </c>
      <c r="W1143" s="29">
        <v>101.71</v>
      </c>
      <c r="X1143" s="26">
        <v>88083</v>
      </c>
      <c r="Y1143" s="35">
        <v>11.63</v>
      </c>
      <c r="Z1143" s="1" t="s">
        <v>3012</v>
      </c>
      <c r="AA1143" s="36">
        <v>2.8823999999999996</v>
      </c>
      <c r="AB1143" s="54">
        <v>64.077299999999994</v>
      </c>
      <c r="AC1143" s="54">
        <v>18.81635</v>
      </c>
      <c r="AD1143" s="36">
        <v>83.297599999999989</v>
      </c>
    </row>
    <row r="1144" spans="1:30" s="37" customFormat="1" ht="15.75" customHeight="1" x14ac:dyDescent="0.2">
      <c r="A1144" s="26">
        <v>2363</v>
      </c>
      <c r="B1144" s="27" t="s">
        <v>2131</v>
      </c>
      <c r="C1144" s="27" t="s">
        <v>38</v>
      </c>
      <c r="D1144" s="28">
        <v>0</v>
      </c>
      <c r="E1144" s="29">
        <v>5.77</v>
      </c>
      <c r="F1144" s="29">
        <v>5.92</v>
      </c>
      <c r="G1144" s="30" t="s">
        <v>39</v>
      </c>
      <c r="H1144" s="27" t="s">
        <v>71</v>
      </c>
      <c r="I1144" s="27" t="s">
        <v>29</v>
      </c>
      <c r="J1144" s="27" t="s">
        <v>126</v>
      </c>
      <c r="K1144" s="27" t="s">
        <v>144</v>
      </c>
      <c r="L1144" s="31" t="s">
        <v>2132</v>
      </c>
      <c r="M1144" s="32">
        <v>0.55000000000000004</v>
      </c>
      <c r="N1144" s="27" t="s">
        <v>33</v>
      </c>
      <c r="O1144" s="27" t="s">
        <v>111</v>
      </c>
      <c r="P1144" s="27" t="s">
        <v>317</v>
      </c>
      <c r="Q1144" s="27" t="s">
        <v>2133</v>
      </c>
      <c r="R1144" s="33">
        <v>44256</v>
      </c>
      <c r="S1144" s="34">
        <v>42105</v>
      </c>
      <c r="T1144" s="34">
        <v>42107</v>
      </c>
      <c r="U1144" s="29">
        <v>-61.5276</v>
      </c>
      <c r="V1144" s="26">
        <v>11</v>
      </c>
      <c r="W1144" s="29">
        <v>69.89</v>
      </c>
      <c r="X1144" s="26">
        <v>90040</v>
      </c>
      <c r="Y1144" s="35">
        <v>7.2700000000000005</v>
      </c>
      <c r="Z1144" s="1" t="s">
        <v>3014</v>
      </c>
      <c r="AA1144" s="36">
        <v>0</v>
      </c>
      <c r="AB1144" s="54">
        <v>31.450499999999998</v>
      </c>
      <c r="AC1144" s="54">
        <v>3.4945000000000004</v>
      </c>
      <c r="AD1144" s="36">
        <v>125.49760000000001</v>
      </c>
    </row>
    <row r="1145" spans="1:30" s="37" customFormat="1" ht="15.75" customHeight="1" x14ac:dyDescent="0.2">
      <c r="A1145" s="26">
        <v>721</v>
      </c>
      <c r="B1145" s="27" t="s">
        <v>2140</v>
      </c>
      <c r="C1145" s="27" t="s">
        <v>116</v>
      </c>
      <c r="D1145" s="28">
        <v>0.01</v>
      </c>
      <c r="E1145" s="29">
        <v>7.28</v>
      </c>
      <c r="F1145" s="29">
        <v>11.15</v>
      </c>
      <c r="G1145" s="30" t="s">
        <v>39</v>
      </c>
      <c r="H1145" s="27" t="s">
        <v>94</v>
      </c>
      <c r="I1145" s="27" t="s">
        <v>49</v>
      </c>
      <c r="J1145" s="27" t="s">
        <v>88</v>
      </c>
      <c r="K1145" s="27" t="s">
        <v>73</v>
      </c>
      <c r="L1145" s="31" t="s">
        <v>975</v>
      </c>
      <c r="M1145" s="32">
        <v>0.37</v>
      </c>
      <c r="N1145" s="27" t="s">
        <v>33</v>
      </c>
      <c r="O1145" s="27" t="s">
        <v>53</v>
      </c>
      <c r="P1145" s="27" t="s">
        <v>54</v>
      </c>
      <c r="Q1145" s="27" t="s">
        <v>2141</v>
      </c>
      <c r="R1145" s="33">
        <v>46041</v>
      </c>
      <c r="S1145" s="34">
        <v>42105</v>
      </c>
      <c r="T1145" s="34">
        <v>42107</v>
      </c>
      <c r="U1145" s="29">
        <v>-24.245999999999999</v>
      </c>
      <c r="V1145" s="26">
        <v>1</v>
      </c>
      <c r="W1145" s="29">
        <v>11.21</v>
      </c>
      <c r="X1145" s="26">
        <v>91054</v>
      </c>
      <c r="Y1145" s="35">
        <v>48.01</v>
      </c>
      <c r="Z1145" s="1" t="s">
        <v>3012</v>
      </c>
      <c r="AA1145" s="36">
        <v>7.2800000000000004E-2</v>
      </c>
      <c r="AB1145" s="54">
        <v>7.0623000000000005</v>
      </c>
      <c r="AC1145" s="54">
        <v>4.1477000000000004</v>
      </c>
      <c r="AD1145" s="36">
        <v>24.233199999999997</v>
      </c>
    </row>
    <row r="1146" spans="1:30" s="37" customFormat="1" ht="15.75" customHeight="1" x14ac:dyDescent="0.2">
      <c r="A1146" s="26">
        <v>754</v>
      </c>
      <c r="B1146" s="27" t="s">
        <v>2150</v>
      </c>
      <c r="C1146" s="27" t="s">
        <v>48</v>
      </c>
      <c r="D1146" s="28">
        <v>0.06</v>
      </c>
      <c r="E1146" s="29">
        <v>119.99</v>
      </c>
      <c r="F1146" s="29">
        <v>14</v>
      </c>
      <c r="G1146" s="30" t="s">
        <v>27</v>
      </c>
      <c r="H1146" s="27" t="s">
        <v>40</v>
      </c>
      <c r="I1146" s="27" t="s">
        <v>41</v>
      </c>
      <c r="J1146" s="27" t="s">
        <v>57</v>
      </c>
      <c r="K1146" s="27" t="s">
        <v>58</v>
      </c>
      <c r="L1146" s="31" t="s">
        <v>2151</v>
      </c>
      <c r="M1146" s="32">
        <v>0.36</v>
      </c>
      <c r="N1146" s="27" t="s">
        <v>33</v>
      </c>
      <c r="O1146" s="27" t="s">
        <v>60</v>
      </c>
      <c r="P1146" s="27" t="s">
        <v>588</v>
      </c>
      <c r="Q1146" s="27" t="s">
        <v>2152</v>
      </c>
      <c r="R1146" s="33">
        <v>86314</v>
      </c>
      <c r="S1146" s="34">
        <v>42106</v>
      </c>
      <c r="T1146" s="34">
        <v>42113</v>
      </c>
      <c r="U1146" s="29">
        <v>-207.679788</v>
      </c>
      <c r="V1146" s="26">
        <v>2</v>
      </c>
      <c r="W1146" s="29">
        <v>243.86</v>
      </c>
      <c r="X1146" s="26">
        <v>90439</v>
      </c>
      <c r="Y1146" s="35">
        <v>35.46</v>
      </c>
      <c r="Z1146" s="1" t="s">
        <v>3013</v>
      </c>
      <c r="AA1146" s="36">
        <v>14.3988</v>
      </c>
      <c r="AB1146" s="54">
        <v>156.07040000000001</v>
      </c>
      <c r="AC1146" s="54">
        <v>43.894800000000004</v>
      </c>
      <c r="AD1146" s="36">
        <v>423.14098799999999</v>
      </c>
    </row>
    <row r="1147" spans="1:30" s="37" customFormat="1" ht="15.75" customHeight="1" x14ac:dyDescent="0.2">
      <c r="A1147" s="26">
        <v>920</v>
      </c>
      <c r="B1147" s="27" t="s">
        <v>1881</v>
      </c>
      <c r="C1147" s="27" t="s">
        <v>38</v>
      </c>
      <c r="D1147" s="28">
        <v>0.03</v>
      </c>
      <c r="E1147" s="29">
        <v>8.0399999999999991</v>
      </c>
      <c r="F1147" s="29">
        <v>8.94</v>
      </c>
      <c r="G1147" s="30" t="s">
        <v>39</v>
      </c>
      <c r="H1147" s="27" t="s">
        <v>40</v>
      </c>
      <c r="I1147" s="27" t="s">
        <v>49</v>
      </c>
      <c r="J1147" s="27" t="s">
        <v>72</v>
      </c>
      <c r="K1147" s="27" t="s">
        <v>73</v>
      </c>
      <c r="L1147" s="31" t="s">
        <v>2149</v>
      </c>
      <c r="M1147" s="32">
        <v>0.4</v>
      </c>
      <c r="N1147" s="27" t="s">
        <v>33</v>
      </c>
      <c r="O1147" s="27" t="s">
        <v>60</v>
      </c>
      <c r="P1147" s="27" t="s">
        <v>90</v>
      </c>
      <c r="Q1147" s="27" t="s">
        <v>1229</v>
      </c>
      <c r="R1147" s="33">
        <v>92374</v>
      </c>
      <c r="S1147" s="34">
        <v>42106</v>
      </c>
      <c r="T1147" s="34">
        <v>42108</v>
      </c>
      <c r="U1147" s="29">
        <v>-160.27549999999999</v>
      </c>
      <c r="V1147" s="26">
        <v>9</v>
      </c>
      <c r="W1147" s="29">
        <v>76.77</v>
      </c>
      <c r="X1147" s="26">
        <v>90492</v>
      </c>
      <c r="Y1147" s="35">
        <v>8.24</v>
      </c>
      <c r="Z1147" s="1" t="s">
        <v>3013</v>
      </c>
      <c r="AA1147" s="36">
        <v>2.1707999999999998</v>
      </c>
      <c r="AB1147" s="54">
        <v>46.061999999999998</v>
      </c>
      <c r="AC1147" s="54">
        <v>3.4119999999999999</v>
      </c>
      <c r="AD1147" s="36">
        <v>225.93469999999996</v>
      </c>
    </row>
    <row r="1148" spans="1:30" s="37" customFormat="1" ht="15.75" customHeight="1" x14ac:dyDescent="0.2">
      <c r="A1148" s="26">
        <v>918</v>
      </c>
      <c r="B1148" s="27" t="s">
        <v>2144</v>
      </c>
      <c r="C1148" s="27" t="s">
        <v>38</v>
      </c>
      <c r="D1148" s="28">
        <v>0.05</v>
      </c>
      <c r="E1148" s="29">
        <v>35.51</v>
      </c>
      <c r="F1148" s="29">
        <v>6.31</v>
      </c>
      <c r="G1148" s="30" t="s">
        <v>39</v>
      </c>
      <c r="H1148" s="27" t="s">
        <v>40</v>
      </c>
      <c r="I1148" s="27" t="s">
        <v>49</v>
      </c>
      <c r="J1148" s="27" t="s">
        <v>78</v>
      </c>
      <c r="K1148" s="27" t="s">
        <v>73</v>
      </c>
      <c r="L1148" s="31" t="s">
        <v>2145</v>
      </c>
      <c r="M1148" s="32">
        <v>0.57999999999999996</v>
      </c>
      <c r="N1148" s="27" t="s">
        <v>33</v>
      </c>
      <c r="O1148" s="27" t="s">
        <v>60</v>
      </c>
      <c r="P1148" s="27" t="s">
        <v>90</v>
      </c>
      <c r="Q1148" s="27" t="s">
        <v>2146</v>
      </c>
      <c r="R1148" s="33">
        <v>91730</v>
      </c>
      <c r="S1148" s="34">
        <v>42106</v>
      </c>
      <c r="T1148" s="34">
        <v>42108</v>
      </c>
      <c r="U1148" s="29">
        <v>6.11</v>
      </c>
      <c r="V1148" s="26">
        <v>2</v>
      </c>
      <c r="W1148" s="29">
        <v>73.099999999999994</v>
      </c>
      <c r="X1148" s="26">
        <v>90492</v>
      </c>
      <c r="Y1148" s="35">
        <v>8.01</v>
      </c>
      <c r="Z1148" s="1" t="s">
        <v>3013</v>
      </c>
      <c r="AA1148" s="36">
        <v>3.5510000000000002</v>
      </c>
      <c r="AB1148" s="54">
        <v>30.702000000000002</v>
      </c>
      <c r="AC1148" s="54">
        <v>21.198999999999998</v>
      </c>
      <c r="AD1148" s="36">
        <v>57.128999999999991</v>
      </c>
    </row>
    <row r="1149" spans="1:30" s="37" customFormat="1" ht="15.75" customHeight="1" x14ac:dyDescent="0.2">
      <c r="A1149" s="26">
        <v>3221</v>
      </c>
      <c r="B1149" s="27" t="s">
        <v>2153</v>
      </c>
      <c r="C1149" s="27" t="s">
        <v>3094</v>
      </c>
      <c r="D1149" s="28">
        <v>0.03</v>
      </c>
      <c r="E1149" s="29">
        <v>6.68</v>
      </c>
      <c r="F1149" s="29">
        <v>1.5</v>
      </c>
      <c r="G1149" s="30" t="s">
        <v>39</v>
      </c>
      <c r="H1149" s="27" t="s">
        <v>94</v>
      </c>
      <c r="I1149" s="27" t="s">
        <v>49</v>
      </c>
      <c r="J1149" s="27" t="s">
        <v>50</v>
      </c>
      <c r="K1149" s="27" t="s">
        <v>51</v>
      </c>
      <c r="L1149" s="31" t="s">
        <v>1868</v>
      </c>
      <c r="M1149" s="32">
        <v>0.48</v>
      </c>
      <c r="N1149" s="27" t="s">
        <v>33</v>
      </c>
      <c r="O1149" s="27" t="s">
        <v>34</v>
      </c>
      <c r="P1149" s="27" t="s">
        <v>123</v>
      </c>
      <c r="Q1149" s="27" t="s">
        <v>2154</v>
      </c>
      <c r="R1149" s="33">
        <v>33322</v>
      </c>
      <c r="S1149" s="34">
        <v>42106</v>
      </c>
      <c r="T1149" s="34">
        <v>42107</v>
      </c>
      <c r="U1149" s="29">
        <v>-577.30399999999997</v>
      </c>
      <c r="V1149" s="26">
        <v>7</v>
      </c>
      <c r="W1149" s="29">
        <v>48.32</v>
      </c>
      <c r="X1149" s="26">
        <v>90815</v>
      </c>
      <c r="Y1149" s="35">
        <v>119.92999999999999</v>
      </c>
      <c r="Z1149" s="1" t="s">
        <v>3011</v>
      </c>
      <c r="AA1149" s="36">
        <v>1.4028</v>
      </c>
      <c r="AB1149" s="54">
        <v>25.1264</v>
      </c>
      <c r="AC1149" s="54">
        <v>3.3133714285714286</v>
      </c>
      <c r="AD1149" s="36">
        <v>622.72120000000007</v>
      </c>
    </row>
    <row r="1150" spans="1:30" s="37" customFormat="1" ht="15.75" customHeight="1" x14ac:dyDescent="0.2">
      <c r="A1150" s="26">
        <v>919</v>
      </c>
      <c r="B1150" s="27" t="s">
        <v>2147</v>
      </c>
      <c r="C1150" s="27" t="s">
        <v>38</v>
      </c>
      <c r="D1150" s="28">
        <v>0.1</v>
      </c>
      <c r="E1150" s="29">
        <v>8.34</v>
      </c>
      <c r="F1150" s="29">
        <v>2.64</v>
      </c>
      <c r="G1150" s="30" t="s">
        <v>39</v>
      </c>
      <c r="H1150" s="27" t="s">
        <v>40</v>
      </c>
      <c r="I1150" s="27" t="s">
        <v>49</v>
      </c>
      <c r="J1150" s="27" t="s">
        <v>568</v>
      </c>
      <c r="K1150" s="27" t="s">
        <v>43</v>
      </c>
      <c r="L1150" s="31" t="s">
        <v>883</v>
      </c>
      <c r="M1150" s="32">
        <v>0.59</v>
      </c>
      <c r="N1150" s="27" t="s">
        <v>33</v>
      </c>
      <c r="O1150" s="27" t="s">
        <v>60</v>
      </c>
      <c r="P1150" s="27" t="s">
        <v>90</v>
      </c>
      <c r="Q1150" s="27" t="s">
        <v>2148</v>
      </c>
      <c r="R1150" s="33">
        <v>96003</v>
      </c>
      <c r="S1150" s="34">
        <v>42106</v>
      </c>
      <c r="T1150" s="34">
        <v>42106</v>
      </c>
      <c r="U1150" s="29">
        <v>-6.34</v>
      </c>
      <c r="V1150" s="26">
        <v>6</v>
      </c>
      <c r="W1150" s="29">
        <v>47.95</v>
      </c>
      <c r="X1150" s="26">
        <v>90492</v>
      </c>
      <c r="Y1150" s="35">
        <v>6.6499999999999995</v>
      </c>
      <c r="Z1150" s="1" t="s">
        <v>3013</v>
      </c>
      <c r="AA1150" s="36">
        <v>5.0040000000000004</v>
      </c>
      <c r="AB1150" s="54">
        <v>19.659500000000001</v>
      </c>
      <c r="AC1150" s="54">
        <v>4.7150833333333333</v>
      </c>
      <c r="AD1150" s="36">
        <v>46.646000000000001</v>
      </c>
    </row>
    <row r="1151" spans="1:30" s="37" customFormat="1" ht="15.75" customHeight="1" x14ac:dyDescent="0.2">
      <c r="A1151" s="26">
        <v>2973</v>
      </c>
      <c r="B1151" s="27" t="s">
        <v>2161</v>
      </c>
      <c r="C1151" s="27" t="s">
        <v>38</v>
      </c>
      <c r="D1151" s="28">
        <v>0.08</v>
      </c>
      <c r="E1151" s="29">
        <v>125.99</v>
      </c>
      <c r="F1151" s="29">
        <v>7.69</v>
      </c>
      <c r="G1151" s="30" t="s">
        <v>39</v>
      </c>
      <c r="H1151" s="27" t="s">
        <v>71</v>
      </c>
      <c r="I1151" s="27" t="s">
        <v>41</v>
      </c>
      <c r="J1151" s="27" t="s">
        <v>135</v>
      </c>
      <c r="K1151" s="27" t="s">
        <v>73</v>
      </c>
      <c r="L1151" s="31" t="s">
        <v>1049</v>
      </c>
      <c r="M1151" s="32">
        <v>0.57999999999999996</v>
      </c>
      <c r="N1151" s="27" t="s">
        <v>33</v>
      </c>
      <c r="O1151" s="27" t="s">
        <v>53</v>
      </c>
      <c r="P1151" s="27" t="s">
        <v>357</v>
      </c>
      <c r="Q1151" s="27" t="s">
        <v>2163</v>
      </c>
      <c r="R1151" s="33">
        <v>53151</v>
      </c>
      <c r="S1151" s="34">
        <v>42107</v>
      </c>
      <c r="T1151" s="34">
        <v>42109</v>
      </c>
      <c r="U1151" s="29">
        <v>1269.3819599999999</v>
      </c>
      <c r="V1151" s="26">
        <v>23</v>
      </c>
      <c r="W1151" s="29">
        <v>2424.6799999999998</v>
      </c>
      <c r="X1151" s="26">
        <v>87186</v>
      </c>
      <c r="Y1151" s="35">
        <v>1.8299999999999998</v>
      </c>
      <c r="Z1151" s="1" t="s">
        <v>3012</v>
      </c>
      <c r="AA1151" s="36">
        <v>231.82159999999999</v>
      </c>
      <c r="AB1151" s="54">
        <v>1018.3656</v>
      </c>
      <c r="AC1151" s="54">
        <v>61.14410434782608</v>
      </c>
      <c r="AD1151" s="36">
        <v>915.78643999999986</v>
      </c>
    </row>
    <row r="1152" spans="1:30" s="37" customFormat="1" ht="15.75" customHeight="1" x14ac:dyDescent="0.2">
      <c r="A1152" s="26">
        <v>2973</v>
      </c>
      <c r="B1152" s="27" t="s">
        <v>2161</v>
      </c>
      <c r="C1152" s="27" t="s">
        <v>38</v>
      </c>
      <c r="D1152" s="28">
        <v>0.01</v>
      </c>
      <c r="E1152" s="29">
        <v>30.97</v>
      </c>
      <c r="F1152" s="29">
        <v>4</v>
      </c>
      <c r="G1152" s="30" t="s">
        <v>39</v>
      </c>
      <c r="H1152" s="27" t="s">
        <v>71</v>
      </c>
      <c r="I1152" s="27" t="s">
        <v>41</v>
      </c>
      <c r="J1152" s="27" t="s">
        <v>42</v>
      </c>
      <c r="K1152" s="27" t="s">
        <v>73</v>
      </c>
      <c r="L1152" s="31" t="s">
        <v>2162</v>
      </c>
      <c r="M1152" s="32">
        <v>0.74</v>
      </c>
      <c r="N1152" s="27" t="s">
        <v>33</v>
      </c>
      <c r="O1152" s="27" t="s">
        <v>53</v>
      </c>
      <c r="P1152" s="27" t="s">
        <v>357</v>
      </c>
      <c r="Q1152" s="27" t="s">
        <v>2163</v>
      </c>
      <c r="R1152" s="33">
        <v>53151</v>
      </c>
      <c r="S1152" s="34">
        <v>42107</v>
      </c>
      <c r="T1152" s="34">
        <v>42109</v>
      </c>
      <c r="U1152" s="29">
        <v>17.102799999999998</v>
      </c>
      <c r="V1152" s="26">
        <v>17</v>
      </c>
      <c r="W1152" s="29">
        <v>523.05999999999995</v>
      </c>
      <c r="X1152" s="26">
        <v>87186</v>
      </c>
      <c r="Y1152" s="35">
        <v>12.149999999999999</v>
      </c>
      <c r="Z1152" s="1" t="s">
        <v>3012</v>
      </c>
      <c r="AA1152" s="36">
        <v>5.2648999999999999</v>
      </c>
      <c r="AB1152" s="54">
        <v>135.9956</v>
      </c>
      <c r="AC1152" s="54">
        <v>22.768494117647055</v>
      </c>
      <c r="AD1152" s="36">
        <v>496.69229999999993</v>
      </c>
    </row>
    <row r="1153" spans="1:30" s="37" customFormat="1" ht="15.75" customHeight="1" x14ac:dyDescent="0.2">
      <c r="A1153" s="26">
        <v>2738</v>
      </c>
      <c r="B1153" s="27" t="s">
        <v>2157</v>
      </c>
      <c r="C1153" s="27" t="s">
        <v>26</v>
      </c>
      <c r="D1153" s="28">
        <v>0.02</v>
      </c>
      <c r="E1153" s="29">
        <v>33.979999999999997</v>
      </c>
      <c r="F1153" s="29">
        <v>1.99</v>
      </c>
      <c r="G1153" s="30" t="s">
        <v>39</v>
      </c>
      <c r="H1153" s="27" t="s">
        <v>3095</v>
      </c>
      <c r="I1153" s="27" t="s">
        <v>41</v>
      </c>
      <c r="J1153" s="27" t="s">
        <v>42</v>
      </c>
      <c r="K1153" s="27" t="s">
        <v>43</v>
      </c>
      <c r="L1153" s="31" t="s">
        <v>2158</v>
      </c>
      <c r="M1153" s="32">
        <v>0.45</v>
      </c>
      <c r="N1153" s="27" t="s">
        <v>33</v>
      </c>
      <c r="O1153" s="27" t="s">
        <v>111</v>
      </c>
      <c r="P1153" s="27" t="s">
        <v>633</v>
      </c>
      <c r="Q1153" s="27" t="s">
        <v>634</v>
      </c>
      <c r="R1153" s="33">
        <v>5403</v>
      </c>
      <c r="S1153" s="34">
        <v>42107</v>
      </c>
      <c r="T1153" s="34">
        <v>42109</v>
      </c>
      <c r="U1153" s="29">
        <v>164.06129999999999</v>
      </c>
      <c r="V1153" s="26">
        <v>7</v>
      </c>
      <c r="W1153" s="29">
        <v>237.77</v>
      </c>
      <c r="X1153" s="26">
        <v>89017</v>
      </c>
      <c r="Y1153" s="35">
        <v>33.959999999999994</v>
      </c>
      <c r="Z1153" s="1" t="s">
        <v>3014</v>
      </c>
      <c r="AA1153" s="36">
        <v>4.7572000000000001</v>
      </c>
      <c r="AB1153" s="54">
        <v>130.77350000000001</v>
      </c>
      <c r="AC1153" s="54">
        <v>15.285214285714288</v>
      </c>
      <c r="AD1153" s="36">
        <v>66.961500000000001</v>
      </c>
    </row>
    <row r="1154" spans="1:30" s="37" customFormat="1" ht="15.75" customHeight="1" x14ac:dyDescent="0.2">
      <c r="A1154" s="26">
        <v>1561</v>
      </c>
      <c r="B1154" s="27" t="s">
        <v>1452</v>
      </c>
      <c r="C1154" s="27" t="s">
        <v>26</v>
      </c>
      <c r="D1154" s="28">
        <v>0.05</v>
      </c>
      <c r="E1154" s="29">
        <v>12.2</v>
      </c>
      <c r="F1154" s="29">
        <v>6.02</v>
      </c>
      <c r="G1154" s="30" t="s">
        <v>39</v>
      </c>
      <c r="H1154" s="27" t="s">
        <v>94</v>
      </c>
      <c r="I1154" s="27" t="s">
        <v>29</v>
      </c>
      <c r="J1154" s="27" t="s">
        <v>126</v>
      </c>
      <c r="K1154" s="27" t="s">
        <v>43</v>
      </c>
      <c r="L1154" s="31" t="s">
        <v>2156</v>
      </c>
      <c r="M1154" s="32">
        <v>0.43</v>
      </c>
      <c r="N1154" s="27" t="s">
        <v>33</v>
      </c>
      <c r="O1154" s="27" t="s">
        <v>53</v>
      </c>
      <c r="P1154" s="27" t="s">
        <v>187</v>
      </c>
      <c r="Q1154" s="27" t="s">
        <v>1454</v>
      </c>
      <c r="R1154" s="33">
        <v>76063</v>
      </c>
      <c r="S1154" s="34">
        <v>42107</v>
      </c>
      <c r="T1154" s="34">
        <v>42108</v>
      </c>
      <c r="U1154" s="29">
        <v>-6.6420000000000003</v>
      </c>
      <c r="V1154" s="26">
        <v>5</v>
      </c>
      <c r="W1154" s="29">
        <v>63.93</v>
      </c>
      <c r="X1154" s="26">
        <v>88094</v>
      </c>
      <c r="Y1154" s="35">
        <v>7.2</v>
      </c>
      <c r="Z1154" s="1" t="s">
        <v>3012</v>
      </c>
      <c r="AA1154" s="36">
        <v>3.05</v>
      </c>
      <c r="AB1154" s="54">
        <v>36.440100000000001</v>
      </c>
      <c r="AC1154" s="54">
        <v>5.4979800000000001</v>
      </c>
      <c r="AD1154" s="36">
        <v>61.502000000000002</v>
      </c>
    </row>
    <row r="1155" spans="1:30" s="37" customFormat="1" ht="15.75" customHeight="1" x14ac:dyDescent="0.2">
      <c r="A1155" s="26">
        <v>2250</v>
      </c>
      <c r="B1155" s="27" t="s">
        <v>2164</v>
      </c>
      <c r="C1155" s="27" t="s">
        <v>48</v>
      </c>
      <c r="D1155" s="28">
        <v>0</v>
      </c>
      <c r="E1155" s="29">
        <v>2.08</v>
      </c>
      <c r="F1155" s="29">
        <v>5.33</v>
      </c>
      <c r="G1155" s="30" t="s">
        <v>39</v>
      </c>
      <c r="H1155" s="27" t="s">
        <v>71</v>
      </c>
      <c r="I1155" s="27" t="s">
        <v>29</v>
      </c>
      <c r="J1155" s="27" t="s">
        <v>126</v>
      </c>
      <c r="K1155" s="27" t="s">
        <v>73</v>
      </c>
      <c r="L1155" s="31" t="s">
        <v>459</v>
      </c>
      <c r="M1155" s="32">
        <v>0.43</v>
      </c>
      <c r="N1155" s="27" t="s">
        <v>33</v>
      </c>
      <c r="O1155" s="27" t="s">
        <v>111</v>
      </c>
      <c r="P1155" s="27" t="s">
        <v>320</v>
      </c>
      <c r="Q1155" s="27" t="s">
        <v>2165</v>
      </c>
      <c r="R1155" s="33">
        <v>16801</v>
      </c>
      <c r="S1155" s="34">
        <v>42107</v>
      </c>
      <c r="T1155" s="34">
        <v>42114</v>
      </c>
      <c r="U1155" s="29">
        <v>-192.5532</v>
      </c>
      <c r="V1155" s="26">
        <v>22</v>
      </c>
      <c r="W1155" s="29">
        <v>51.41</v>
      </c>
      <c r="X1155" s="26">
        <v>86699</v>
      </c>
      <c r="Y1155" s="35">
        <v>30.959999999999997</v>
      </c>
      <c r="Z1155" s="1" t="s">
        <v>3014</v>
      </c>
      <c r="AA1155" s="36">
        <v>0</v>
      </c>
      <c r="AB1155" s="54">
        <v>29.303700000000003</v>
      </c>
      <c r="AC1155" s="54">
        <v>1.0048318181818181</v>
      </c>
      <c r="AD1155" s="36">
        <v>238.63319999999999</v>
      </c>
    </row>
    <row r="1156" spans="1:30" s="37" customFormat="1" ht="15.75" customHeight="1" x14ac:dyDescent="0.2">
      <c r="A1156" s="26">
        <v>3169</v>
      </c>
      <c r="B1156" s="27" t="s">
        <v>2159</v>
      </c>
      <c r="C1156" s="27" t="s">
        <v>26</v>
      </c>
      <c r="D1156" s="28">
        <v>0.08</v>
      </c>
      <c r="E1156" s="29">
        <v>7.28</v>
      </c>
      <c r="F1156" s="29">
        <v>11.15</v>
      </c>
      <c r="G1156" s="30" t="s">
        <v>87</v>
      </c>
      <c r="H1156" s="27" t="s">
        <v>3095</v>
      </c>
      <c r="I1156" s="27" t="s">
        <v>49</v>
      </c>
      <c r="J1156" s="27" t="s">
        <v>88</v>
      </c>
      <c r="K1156" s="27" t="s">
        <v>73</v>
      </c>
      <c r="L1156" s="31" t="s">
        <v>975</v>
      </c>
      <c r="M1156" s="32">
        <v>0.37</v>
      </c>
      <c r="N1156" s="27" t="s">
        <v>33</v>
      </c>
      <c r="O1156" s="27" t="s">
        <v>34</v>
      </c>
      <c r="P1156" s="27" t="s">
        <v>123</v>
      </c>
      <c r="Q1156" s="27" t="s">
        <v>2160</v>
      </c>
      <c r="R1156" s="33">
        <v>32127</v>
      </c>
      <c r="S1156" s="34">
        <v>42107</v>
      </c>
      <c r="T1156" s="34">
        <v>42108</v>
      </c>
      <c r="U1156" s="29">
        <v>-44.414999999999999</v>
      </c>
      <c r="V1156" s="26">
        <v>1</v>
      </c>
      <c r="W1156" s="29">
        <v>14.66</v>
      </c>
      <c r="X1156" s="26">
        <v>86490</v>
      </c>
      <c r="Y1156" s="35">
        <v>125.91</v>
      </c>
      <c r="Z1156" s="1" t="s">
        <v>3011</v>
      </c>
      <c r="AA1156" s="36">
        <v>0.58240000000000003</v>
      </c>
      <c r="AB1156" s="54">
        <v>9.2357999999999993</v>
      </c>
      <c r="AC1156" s="54">
        <v>5.4241999999999999</v>
      </c>
      <c r="AD1156" s="36">
        <v>47.342600000000004</v>
      </c>
    </row>
    <row r="1157" spans="1:30" s="37" customFormat="1" ht="15.75" customHeight="1" x14ac:dyDescent="0.2">
      <c r="A1157" s="26">
        <v>171</v>
      </c>
      <c r="B1157" s="27" t="s">
        <v>2155</v>
      </c>
      <c r="C1157" s="27" t="s">
        <v>26</v>
      </c>
      <c r="D1157" s="28">
        <v>0.05</v>
      </c>
      <c r="E1157" s="29">
        <v>1.88</v>
      </c>
      <c r="F1157" s="29">
        <v>1.49</v>
      </c>
      <c r="G1157" s="30" t="s">
        <v>39</v>
      </c>
      <c r="H1157" s="27" t="s">
        <v>94</v>
      </c>
      <c r="I1157" s="27" t="s">
        <v>49</v>
      </c>
      <c r="J1157" s="27" t="s">
        <v>72</v>
      </c>
      <c r="K1157" s="27" t="s">
        <v>73</v>
      </c>
      <c r="L1157" s="31" t="s">
        <v>613</v>
      </c>
      <c r="M1157" s="32">
        <v>0.37</v>
      </c>
      <c r="N1157" s="27" t="s">
        <v>33</v>
      </c>
      <c r="O1157" s="27" t="s">
        <v>111</v>
      </c>
      <c r="P1157" s="27" t="s">
        <v>397</v>
      </c>
      <c r="Q1157" s="27" t="s">
        <v>805</v>
      </c>
      <c r="R1157" s="33">
        <v>7024</v>
      </c>
      <c r="S1157" s="34">
        <v>42107</v>
      </c>
      <c r="T1157" s="34">
        <v>42109</v>
      </c>
      <c r="U1157" s="29">
        <v>-2.9095</v>
      </c>
      <c r="V1157" s="26">
        <v>1</v>
      </c>
      <c r="W1157" s="29">
        <v>3.42</v>
      </c>
      <c r="X1157" s="26">
        <v>87464</v>
      </c>
      <c r="Y1157" s="35">
        <v>2.08</v>
      </c>
      <c r="Z1157" s="1" t="s">
        <v>3014</v>
      </c>
      <c r="AA1157" s="36">
        <v>9.4E-2</v>
      </c>
      <c r="AB1157" s="54">
        <v>2.1545999999999998</v>
      </c>
      <c r="AC1157" s="54">
        <v>1.2653999999999999</v>
      </c>
      <c r="AD1157" s="36">
        <v>4.7454999999999998</v>
      </c>
    </row>
    <row r="1158" spans="1:30" s="37" customFormat="1" ht="15.75" customHeight="1" x14ac:dyDescent="0.2">
      <c r="A1158" s="26">
        <v>329</v>
      </c>
      <c r="B1158" s="27" t="s">
        <v>2168</v>
      </c>
      <c r="C1158" s="27" t="s">
        <v>116</v>
      </c>
      <c r="D1158" s="28">
        <v>0.06</v>
      </c>
      <c r="E1158" s="29">
        <v>296.18</v>
      </c>
      <c r="F1158" s="29">
        <v>54.12</v>
      </c>
      <c r="G1158" s="30" t="s">
        <v>27</v>
      </c>
      <c r="H1158" s="27" t="s">
        <v>71</v>
      </c>
      <c r="I1158" s="27" t="s">
        <v>29</v>
      </c>
      <c r="J1158" s="27" t="s">
        <v>30</v>
      </c>
      <c r="K1158" s="27" t="s">
        <v>31</v>
      </c>
      <c r="L1158" s="31" t="s">
        <v>1079</v>
      </c>
      <c r="M1158" s="32">
        <v>0.76</v>
      </c>
      <c r="N1158" s="27" t="s">
        <v>33</v>
      </c>
      <c r="O1158" s="27" t="s">
        <v>111</v>
      </c>
      <c r="P1158" s="27" t="s">
        <v>331</v>
      </c>
      <c r="Q1158" s="27" t="s">
        <v>332</v>
      </c>
      <c r="R1158" s="33">
        <v>4073</v>
      </c>
      <c r="S1158" s="34">
        <v>42108</v>
      </c>
      <c r="T1158" s="34">
        <v>42109</v>
      </c>
      <c r="U1158" s="29">
        <v>-715.77820599999995</v>
      </c>
      <c r="V1158" s="26">
        <v>5</v>
      </c>
      <c r="W1158" s="29">
        <v>1170.21</v>
      </c>
      <c r="X1158" s="26">
        <v>89726</v>
      </c>
      <c r="Y1158" s="35">
        <v>100.89</v>
      </c>
      <c r="Z1158" s="1" t="s">
        <v>3014</v>
      </c>
      <c r="AA1158" s="36">
        <v>88.854000000000013</v>
      </c>
      <c r="AB1158" s="54">
        <v>280.85039999999998</v>
      </c>
      <c r="AC1158" s="54">
        <v>177.87192000000002</v>
      </c>
      <c r="AD1158" s="36">
        <v>1743.0142059999998</v>
      </c>
    </row>
    <row r="1159" spans="1:30" s="37" customFormat="1" ht="15.75" customHeight="1" x14ac:dyDescent="0.2">
      <c r="A1159" s="26">
        <v>940</v>
      </c>
      <c r="B1159" s="27" t="s">
        <v>2166</v>
      </c>
      <c r="C1159" s="27" t="s">
        <v>48</v>
      </c>
      <c r="D1159" s="28">
        <v>0.09</v>
      </c>
      <c r="E1159" s="29">
        <v>100.98</v>
      </c>
      <c r="F1159" s="29">
        <v>35.840000000000003</v>
      </c>
      <c r="G1159" s="30" t="s">
        <v>27</v>
      </c>
      <c r="H1159" s="27" t="s">
        <v>71</v>
      </c>
      <c r="I1159" s="27" t="s">
        <v>29</v>
      </c>
      <c r="J1159" s="27" t="s">
        <v>117</v>
      </c>
      <c r="K1159" s="27" t="s">
        <v>31</v>
      </c>
      <c r="L1159" s="31" t="s">
        <v>118</v>
      </c>
      <c r="M1159" s="32">
        <v>0.62</v>
      </c>
      <c r="N1159" s="27" t="s">
        <v>33</v>
      </c>
      <c r="O1159" s="27" t="s">
        <v>111</v>
      </c>
      <c r="P1159" s="27" t="s">
        <v>248</v>
      </c>
      <c r="Q1159" s="27" t="s">
        <v>2167</v>
      </c>
      <c r="R1159" s="33">
        <v>6776</v>
      </c>
      <c r="S1159" s="34">
        <v>42108</v>
      </c>
      <c r="T1159" s="34">
        <v>42113</v>
      </c>
      <c r="U1159" s="29">
        <v>-193.58</v>
      </c>
      <c r="V1159" s="26">
        <v>4</v>
      </c>
      <c r="W1159" s="29">
        <v>396.19</v>
      </c>
      <c r="X1159" s="26">
        <v>90844</v>
      </c>
      <c r="Y1159" s="35">
        <v>296.12</v>
      </c>
      <c r="Z1159" s="1" t="s">
        <v>3014</v>
      </c>
      <c r="AA1159" s="36">
        <v>36.352800000000002</v>
      </c>
      <c r="AB1159" s="54">
        <v>150.5522</v>
      </c>
      <c r="AC1159" s="54">
        <v>61.40945</v>
      </c>
      <c r="AD1159" s="36">
        <v>517.57719999999995</v>
      </c>
    </row>
    <row r="1160" spans="1:30" s="37" customFormat="1" ht="15.75" customHeight="1" x14ac:dyDescent="0.2">
      <c r="A1160" s="26">
        <v>331</v>
      </c>
      <c r="B1160" s="27" t="s">
        <v>2169</v>
      </c>
      <c r="C1160" s="27" t="s">
        <v>116</v>
      </c>
      <c r="D1160" s="28">
        <v>0.01</v>
      </c>
      <c r="E1160" s="29">
        <v>29.1</v>
      </c>
      <c r="F1160" s="29">
        <v>4</v>
      </c>
      <c r="G1160" s="30" t="s">
        <v>87</v>
      </c>
      <c r="H1160" s="27" t="s">
        <v>71</v>
      </c>
      <c r="I1160" s="27" t="s">
        <v>41</v>
      </c>
      <c r="J1160" s="27" t="s">
        <v>42</v>
      </c>
      <c r="K1160" s="27" t="s">
        <v>73</v>
      </c>
      <c r="L1160" s="31" t="s">
        <v>2170</v>
      </c>
      <c r="M1160" s="32">
        <v>0.78</v>
      </c>
      <c r="N1160" s="27" t="s">
        <v>33</v>
      </c>
      <c r="O1160" s="27" t="s">
        <v>111</v>
      </c>
      <c r="P1160" s="27" t="s">
        <v>1356</v>
      </c>
      <c r="Q1160" s="27" t="s">
        <v>2171</v>
      </c>
      <c r="R1160" s="33">
        <v>3045</v>
      </c>
      <c r="S1160" s="34">
        <v>42108</v>
      </c>
      <c r="T1160" s="34">
        <v>42110</v>
      </c>
      <c r="U1160" s="29">
        <v>-22.82</v>
      </c>
      <c r="V1160" s="26">
        <v>8</v>
      </c>
      <c r="W1160" s="29">
        <v>243.32</v>
      </c>
      <c r="X1160" s="26">
        <v>89726</v>
      </c>
      <c r="Y1160" s="35">
        <v>29.09</v>
      </c>
      <c r="Z1160" s="1" t="s">
        <v>3014</v>
      </c>
      <c r="AA1160" s="36">
        <v>2.3280000000000003</v>
      </c>
      <c r="AB1160" s="54">
        <v>53.530399999999993</v>
      </c>
      <c r="AC1160" s="54">
        <v>23.723700000000001</v>
      </c>
      <c r="AD1160" s="36">
        <v>259.81200000000001</v>
      </c>
    </row>
    <row r="1161" spans="1:30" s="37" customFormat="1" ht="15.75" customHeight="1" x14ac:dyDescent="0.2">
      <c r="A1161" s="26">
        <v>1821</v>
      </c>
      <c r="B1161" s="27" t="s">
        <v>998</v>
      </c>
      <c r="C1161" s="27" t="s">
        <v>3094</v>
      </c>
      <c r="D1161" s="28">
        <v>0.08</v>
      </c>
      <c r="E1161" s="29">
        <v>175.99</v>
      </c>
      <c r="F1161" s="29">
        <v>8.99</v>
      </c>
      <c r="G1161" s="30" t="s">
        <v>87</v>
      </c>
      <c r="H1161" s="27" t="s">
        <v>40</v>
      </c>
      <c r="I1161" s="27" t="s">
        <v>41</v>
      </c>
      <c r="J1161" s="27" t="s">
        <v>135</v>
      </c>
      <c r="K1161" s="27" t="s">
        <v>73</v>
      </c>
      <c r="L1161" s="31" t="s">
        <v>1179</v>
      </c>
      <c r="M1161" s="32">
        <v>0.56999999999999995</v>
      </c>
      <c r="N1161" s="27" t="s">
        <v>33</v>
      </c>
      <c r="O1161" s="27" t="s">
        <v>111</v>
      </c>
      <c r="P1161" s="27" t="s">
        <v>112</v>
      </c>
      <c r="Q1161" s="27" t="s">
        <v>113</v>
      </c>
      <c r="R1161" s="33">
        <v>10177</v>
      </c>
      <c r="S1161" s="34">
        <v>42109</v>
      </c>
      <c r="T1161" s="34">
        <v>42110</v>
      </c>
      <c r="U1161" s="29">
        <v>-459.08280000000002</v>
      </c>
      <c r="V1161" s="26">
        <v>16</v>
      </c>
      <c r="W1161" s="29">
        <v>2290.69</v>
      </c>
      <c r="X1161" s="26">
        <v>47108</v>
      </c>
      <c r="Y1161" s="35">
        <v>226.57</v>
      </c>
      <c r="Z1161" s="1" t="s">
        <v>3014</v>
      </c>
      <c r="AA1161" s="36">
        <v>225.2672</v>
      </c>
      <c r="AB1161" s="54">
        <v>984.99670000000015</v>
      </c>
      <c r="AC1161" s="54">
        <v>81.605831249999994</v>
      </c>
      <c r="AD1161" s="36">
        <v>2515.5156000000002</v>
      </c>
    </row>
    <row r="1162" spans="1:30" s="37" customFormat="1" ht="15.75" customHeight="1" x14ac:dyDescent="0.2">
      <c r="A1162" s="26">
        <v>1559</v>
      </c>
      <c r="B1162" s="27" t="s">
        <v>2172</v>
      </c>
      <c r="C1162" s="27" t="s">
        <v>26</v>
      </c>
      <c r="D1162" s="28">
        <v>0.1</v>
      </c>
      <c r="E1162" s="29">
        <v>226.67</v>
      </c>
      <c r="F1162" s="29">
        <v>28.16</v>
      </c>
      <c r="G1162" s="30" t="s">
        <v>27</v>
      </c>
      <c r="H1162" s="27" t="s">
        <v>40</v>
      </c>
      <c r="I1162" s="27" t="s">
        <v>29</v>
      </c>
      <c r="J1162" s="27" t="s">
        <v>109</v>
      </c>
      <c r="K1162" s="27" t="s">
        <v>58</v>
      </c>
      <c r="L1162" s="31" t="s">
        <v>1376</v>
      </c>
      <c r="M1162" s="32">
        <v>0.59</v>
      </c>
      <c r="N1162" s="27" t="s">
        <v>33</v>
      </c>
      <c r="O1162" s="27" t="s">
        <v>34</v>
      </c>
      <c r="P1162" s="27" t="s">
        <v>242</v>
      </c>
      <c r="Q1162" s="27" t="s">
        <v>2173</v>
      </c>
      <c r="R1162" s="33">
        <v>24060</v>
      </c>
      <c r="S1162" s="34">
        <v>42109</v>
      </c>
      <c r="T1162" s="34">
        <v>42111</v>
      </c>
      <c r="U1162" s="29">
        <v>-390.76799999999997</v>
      </c>
      <c r="V1162" s="26">
        <v>5</v>
      </c>
      <c r="W1162" s="29">
        <v>1088.26</v>
      </c>
      <c r="X1162" s="26">
        <v>87424</v>
      </c>
      <c r="Y1162" s="35">
        <v>25.97</v>
      </c>
      <c r="Z1162" s="1" t="s">
        <v>3011</v>
      </c>
      <c r="AA1162" s="36">
        <v>113.33500000000001</v>
      </c>
      <c r="AB1162" s="54">
        <v>446.18660000000006</v>
      </c>
      <c r="AC1162" s="54">
        <v>128.41467999999998</v>
      </c>
      <c r="AD1162" s="36">
        <v>1337.5329999999999</v>
      </c>
    </row>
    <row r="1163" spans="1:30" s="37" customFormat="1" ht="15.75" customHeight="1" x14ac:dyDescent="0.2">
      <c r="A1163" s="26">
        <v>568</v>
      </c>
      <c r="B1163" s="27" t="s">
        <v>1482</v>
      </c>
      <c r="C1163" s="27" t="s">
        <v>3094</v>
      </c>
      <c r="D1163" s="28">
        <v>0.09</v>
      </c>
      <c r="E1163" s="29">
        <v>70.97</v>
      </c>
      <c r="F1163" s="29">
        <v>3.5</v>
      </c>
      <c r="G1163" s="30" t="s">
        <v>39</v>
      </c>
      <c r="H1163" s="27" t="s">
        <v>40</v>
      </c>
      <c r="I1163" s="27" t="s">
        <v>49</v>
      </c>
      <c r="J1163" s="27" t="s">
        <v>95</v>
      </c>
      <c r="K1163" s="27" t="s">
        <v>73</v>
      </c>
      <c r="L1163" s="31" t="s">
        <v>2177</v>
      </c>
      <c r="M1163" s="32">
        <v>0.59</v>
      </c>
      <c r="N1163" s="27" t="s">
        <v>33</v>
      </c>
      <c r="O1163" s="27" t="s">
        <v>34</v>
      </c>
      <c r="P1163" s="27" t="s">
        <v>35</v>
      </c>
      <c r="Q1163" s="27" t="s">
        <v>1483</v>
      </c>
      <c r="R1163" s="33">
        <v>39701</v>
      </c>
      <c r="S1163" s="34">
        <v>42109</v>
      </c>
      <c r="T1163" s="34">
        <v>42109</v>
      </c>
      <c r="U1163" s="29">
        <v>-99.567999999999998</v>
      </c>
      <c r="V1163" s="26">
        <v>12</v>
      </c>
      <c r="W1163" s="29">
        <v>805.99</v>
      </c>
      <c r="X1163" s="26">
        <v>88880</v>
      </c>
      <c r="Y1163" s="35">
        <v>4.9700000000000006</v>
      </c>
      <c r="Z1163" s="1" t="s">
        <v>3011</v>
      </c>
      <c r="AA1163" s="36">
        <v>76.647599999999997</v>
      </c>
      <c r="AB1163" s="54">
        <v>330.45590000000004</v>
      </c>
      <c r="AC1163" s="54">
        <v>39.627841666666669</v>
      </c>
      <c r="AD1163" s="36">
        <v>825.41039999999998</v>
      </c>
    </row>
    <row r="1164" spans="1:30" s="37" customFormat="1" ht="15.75" customHeight="1" x14ac:dyDescent="0.2">
      <c r="A1164" s="26">
        <v>1821</v>
      </c>
      <c r="B1164" s="27" t="s">
        <v>998</v>
      </c>
      <c r="C1164" s="27" t="s">
        <v>3094</v>
      </c>
      <c r="D1164" s="28">
        <v>7.0000000000000007E-2</v>
      </c>
      <c r="E1164" s="29">
        <v>18.649999999999999</v>
      </c>
      <c r="F1164" s="29">
        <v>3.77</v>
      </c>
      <c r="G1164" s="30" t="s">
        <v>39</v>
      </c>
      <c r="H1164" s="27" t="s">
        <v>40</v>
      </c>
      <c r="I1164" s="27" t="s">
        <v>29</v>
      </c>
      <c r="J1164" s="27" t="s">
        <v>126</v>
      </c>
      <c r="K1164" s="27" t="s">
        <v>43</v>
      </c>
      <c r="L1164" s="31" t="s">
        <v>2181</v>
      </c>
      <c r="M1164" s="32">
        <v>0.39</v>
      </c>
      <c r="N1164" s="27" t="s">
        <v>33</v>
      </c>
      <c r="O1164" s="27" t="s">
        <v>111</v>
      </c>
      <c r="P1164" s="27" t="s">
        <v>112</v>
      </c>
      <c r="Q1164" s="27" t="s">
        <v>113</v>
      </c>
      <c r="R1164" s="33">
        <v>10177</v>
      </c>
      <c r="S1164" s="34">
        <v>42109</v>
      </c>
      <c r="T1164" s="34">
        <v>42110</v>
      </c>
      <c r="U1164" s="29">
        <v>149.72</v>
      </c>
      <c r="V1164" s="26">
        <v>34</v>
      </c>
      <c r="W1164" s="29">
        <v>643.64</v>
      </c>
      <c r="X1164" s="26">
        <v>47108</v>
      </c>
      <c r="Y1164" s="35">
        <v>4.9700000000000006</v>
      </c>
      <c r="Z1164" s="1" t="s">
        <v>3014</v>
      </c>
      <c r="AA1164" s="36">
        <v>44.387</v>
      </c>
      <c r="AB1164" s="54">
        <v>392.62039999999996</v>
      </c>
      <c r="AC1164" s="54">
        <v>7.3829294117647057</v>
      </c>
      <c r="AD1164" s="36">
        <v>445.76299999999998</v>
      </c>
    </row>
    <row r="1165" spans="1:30" s="37" customFormat="1" ht="15.75" customHeight="1" x14ac:dyDescent="0.2">
      <c r="A1165" s="26">
        <v>1821</v>
      </c>
      <c r="B1165" s="27" t="s">
        <v>998</v>
      </c>
      <c r="C1165" s="27" t="s">
        <v>3094</v>
      </c>
      <c r="D1165" s="28">
        <v>0.1</v>
      </c>
      <c r="E1165" s="29">
        <v>9.99</v>
      </c>
      <c r="F1165" s="29">
        <v>4.78</v>
      </c>
      <c r="G1165" s="30" t="s">
        <v>87</v>
      </c>
      <c r="H1165" s="27" t="s">
        <v>40</v>
      </c>
      <c r="I1165" s="27" t="s">
        <v>49</v>
      </c>
      <c r="J1165" s="27" t="s">
        <v>88</v>
      </c>
      <c r="K1165" s="27" t="s">
        <v>73</v>
      </c>
      <c r="L1165" s="31" t="s">
        <v>1519</v>
      </c>
      <c r="M1165" s="32">
        <v>0.4</v>
      </c>
      <c r="N1165" s="27" t="s">
        <v>33</v>
      </c>
      <c r="O1165" s="27" t="s">
        <v>111</v>
      </c>
      <c r="P1165" s="27" t="s">
        <v>112</v>
      </c>
      <c r="Q1165" s="27" t="s">
        <v>113</v>
      </c>
      <c r="R1165" s="33">
        <v>10177</v>
      </c>
      <c r="S1165" s="34">
        <v>42109</v>
      </c>
      <c r="T1165" s="34">
        <v>42112</v>
      </c>
      <c r="U1165" s="29">
        <v>7.96</v>
      </c>
      <c r="V1165" s="26">
        <v>47</v>
      </c>
      <c r="W1165" s="29">
        <v>466.58</v>
      </c>
      <c r="X1165" s="26">
        <v>47108</v>
      </c>
      <c r="Y1165" s="35">
        <v>5.66</v>
      </c>
      <c r="Z1165" s="1" t="s">
        <v>3014</v>
      </c>
      <c r="AA1165" s="36">
        <v>46.953000000000003</v>
      </c>
      <c r="AB1165" s="54">
        <v>279.94799999999998</v>
      </c>
      <c r="AC1165" s="54">
        <v>3.970893617021277</v>
      </c>
      <c r="AD1165" s="36">
        <v>406.887</v>
      </c>
    </row>
    <row r="1166" spans="1:30" s="37" customFormat="1" ht="15.75" customHeight="1" x14ac:dyDescent="0.2">
      <c r="A1166" s="26">
        <v>553</v>
      </c>
      <c r="B1166" s="27" t="s">
        <v>851</v>
      </c>
      <c r="C1166" s="27" t="s">
        <v>48</v>
      </c>
      <c r="D1166" s="28">
        <v>0.01</v>
      </c>
      <c r="E1166" s="29">
        <v>4.9800000000000004</v>
      </c>
      <c r="F1166" s="29">
        <v>7.44</v>
      </c>
      <c r="G1166" s="30" t="s">
        <v>39</v>
      </c>
      <c r="H1166" s="27" t="s">
        <v>94</v>
      </c>
      <c r="I1166" s="27" t="s">
        <v>49</v>
      </c>
      <c r="J1166" s="27" t="s">
        <v>88</v>
      </c>
      <c r="K1166" s="27" t="s">
        <v>73</v>
      </c>
      <c r="L1166" s="31" t="s">
        <v>2174</v>
      </c>
      <c r="M1166" s="32">
        <v>0.36</v>
      </c>
      <c r="N1166" s="27" t="s">
        <v>33</v>
      </c>
      <c r="O1166" s="27" t="s">
        <v>60</v>
      </c>
      <c r="P1166" s="27" t="s">
        <v>90</v>
      </c>
      <c r="Q1166" s="27" t="s">
        <v>100</v>
      </c>
      <c r="R1166" s="33">
        <v>90008</v>
      </c>
      <c r="S1166" s="34">
        <v>42109</v>
      </c>
      <c r="T1166" s="34">
        <v>42118</v>
      </c>
      <c r="U1166" s="29">
        <v>-179.59200000000001</v>
      </c>
      <c r="V1166" s="26">
        <v>63</v>
      </c>
      <c r="W1166" s="29">
        <v>330.21</v>
      </c>
      <c r="X1166" s="26">
        <v>8165</v>
      </c>
      <c r="Y1166" s="35">
        <v>70.88</v>
      </c>
      <c r="Z1166" s="1" t="s">
        <v>3013</v>
      </c>
      <c r="AA1166" s="36">
        <v>3.1374000000000004</v>
      </c>
      <c r="AB1166" s="54">
        <v>211.33439999999999</v>
      </c>
      <c r="AC1166" s="54">
        <v>1.8869142857142855</v>
      </c>
      <c r="AD1166" s="36">
        <v>499.22460000000001</v>
      </c>
    </row>
    <row r="1167" spans="1:30" s="37" customFormat="1" ht="15.75" customHeight="1" x14ac:dyDescent="0.2">
      <c r="A1167" s="26">
        <v>1821</v>
      </c>
      <c r="B1167" s="27" t="s">
        <v>998</v>
      </c>
      <c r="C1167" s="27" t="s">
        <v>3094</v>
      </c>
      <c r="D1167" s="28">
        <v>0.06</v>
      </c>
      <c r="E1167" s="29">
        <v>17.98</v>
      </c>
      <c r="F1167" s="29">
        <v>8.51</v>
      </c>
      <c r="G1167" s="30" t="s">
        <v>39</v>
      </c>
      <c r="H1167" s="27" t="s">
        <v>40</v>
      </c>
      <c r="I1167" s="27" t="s">
        <v>41</v>
      </c>
      <c r="J1167" s="27" t="s">
        <v>57</v>
      </c>
      <c r="K1167" s="27" t="s">
        <v>144</v>
      </c>
      <c r="L1167" s="31" t="s">
        <v>1880</v>
      </c>
      <c r="M1167" s="32">
        <v>0.4</v>
      </c>
      <c r="N1167" s="27" t="s">
        <v>33</v>
      </c>
      <c r="O1167" s="27" t="s">
        <v>111</v>
      </c>
      <c r="P1167" s="27" t="s">
        <v>112</v>
      </c>
      <c r="Q1167" s="27" t="s">
        <v>113</v>
      </c>
      <c r="R1167" s="33">
        <v>10177</v>
      </c>
      <c r="S1167" s="34">
        <v>42109</v>
      </c>
      <c r="T1167" s="34">
        <v>42111</v>
      </c>
      <c r="U1167" s="29">
        <v>-52.492319999999999</v>
      </c>
      <c r="V1167" s="26">
        <v>13</v>
      </c>
      <c r="W1167" s="29">
        <v>244.31</v>
      </c>
      <c r="X1167" s="26">
        <v>47108</v>
      </c>
      <c r="Y1167" s="35">
        <v>15.15</v>
      </c>
      <c r="Z1167" s="1" t="s">
        <v>3014</v>
      </c>
      <c r="AA1167" s="36">
        <v>14.0244</v>
      </c>
      <c r="AB1167" s="54">
        <v>146.58599999999998</v>
      </c>
      <c r="AC1167" s="54">
        <v>7.5172307692307703</v>
      </c>
      <c r="AD1167" s="36">
        <v>274.26792</v>
      </c>
    </row>
    <row r="1168" spans="1:30" s="37" customFormat="1" ht="15.75" customHeight="1" x14ac:dyDescent="0.2">
      <c r="A1168" s="26">
        <v>1632</v>
      </c>
      <c r="B1168" s="27" t="s">
        <v>521</v>
      </c>
      <c r="C1168" s="27" t="s">
        <v>38</v>
      </c>
      <c r="D1168" s="28">
        <v>0.02</v>
      </c>
      <c r="E1168" s="29">
        <v>25.99</v>
      </c>
      <c r="F1168" s="29">
        <v>5.37</v>
      </c>
      <c r="G1168" s="30" t="s">
        <v>39</v>
      </c>
      <c r="H1168" s="27" t="s">
        <v>71</v>
      </c>
      <c r="I1168" s="27" t="s">
        <v>49</v>
      </c>
      <c r="J1168" s="27" t="s">
        <v>50</v>
      </c>
      <c r="K1168" s="27" t="s">
        <v>73</v>
      </c>
      <c r="L1168" s="31" t="s">
        <v>1226</v>
      </c>
      <c r="M1168" s="32">
        <v>0.56000000000000005</v>
      </c>
      <c r="N1168" s="27" t="s">
        <v>33</v>
      </c>
      <c r="O1168" s="27" t="s">
        <v>34</v>
      </c>
      <c r="P1168" s="27" t="s">
        <v>35</v>
      </c>
      <c r="Q1168" s="27" t="s">
        <v>523</v>
      </c>
      <c r="R1168" s="33">
        <v>39401</v>
      </c>
      <c r="S1168" s="34">
        <v>42109</v>
      </c>
      <c r="T1168" s="34">
        <v>42111</v>
      </c>
      <c r="U1168" s="29">
        <v>-88.158000000000001</v>
      </c>
      <c r="V1168" s="26">
        <v>9</v>
      </c>
      <c r="W1168" s="29">
        <v>243.24</v>
      </c>
      <c r="X1168" s="26">
        <v>90533</v>
      </c>
      <c r="Y1168" s="35">
        <v>17.920000000000002</v>
      </c>
      <c r="Z1168" s="1" t="s">
        <v>3011</v>
      </c>
      <c r="AA1168" s="36">
        <v>4.6781999999999995</v>
      </c>
      <c r="AB1168" s="54">
        <v>107.0256</v>
      </c>
      <c r="AC1168" s="54">
        <v>15.134933333333334</v>
      </c>
      <c r="AD1168" s="36">
        <v>321.34980000000002</v>
      </c>
    </row>
    <row r="1169" spans="1:30" s="37" customFormat="1" ht="15.75" customHeight="1" x14ac:dyDescent="0.2">
      <c r="A1169" s="26">
        <v>1818</v>
      </c>
      <c r="B1169" s="27" t="s">
        <v>2179</v>
      </c>
      <c r="C1169" s="27" t="s">
        <v>3094</v>
      </c>
      <c r="D1169" s="28">
        <v>0.1</v>
      </c>
      <c r="E1169" s="29">
        <v>9.99</v>
      </c>
      <c r="F1169" s="29">
        <v>4.78</v>
      </c>
      <c r="G1169" s="30" t="s">
        <v>87</v>
      </c>
      <c r="H1169" s="27" t="s">
        <v>40</v>
      </c>
      <c r="I1169" s="27" t="s">
        <v>49</v>
      </c>
      <c r="J1169" s="27" t="s">
        <v>88</v>
      </c>
      <c r="K1169" s="27" t="s">
        <v>73</v>
      </c>
      <c r="L1169" s="31" t="s">
        <v>1519</v>
      </c>
      <c r="M1169" s="32">
        <v>0.4</v>
      </c>
      <c r="N1169" s="27" t="s">
        <v>33</v>
      </c>
      <c r="O1169" s="27" t="s">
        <v>53</v>
      </c>
      <c r="P1169" s="27" t="s">
        <v>289</v>
      </c>
      <c r="Q1169" s="27" t="s">
        <v>2180</v>
      </c>
      <c r="R1169" s="33">
        <v>48126</v>
      </c>
      <c r="S1169" s="34">
        <v>42109</v>
      </c>
      <c r="T1169" s="34">
        <v>42112</v>
      </c>
      <c r="U1169" s="29">
        <v>9.1539999999999999</v>
      </c>
      <c r="V1169" s="26">
        <v>12</v>
      </c>
      <c r="W1169" s="29">
        <v>119.13</v>
      </c>
      <c r="X1169" s="26">
        <v>85991</v>
      </c>
      <c r="Y1169" s="35">
        <v>9.89</v>
      </c>
      <c r="Z1169" s="1" t="s">
        <v>3012</v>
      </c>
      <c r="AA1169" s="36">
        <v>11.988000000000001</v>
      </c>
      <c r="AB1169" s="54">
        <v>71.477999999999994</v>
      </c>
      <c r="AC1169" s="54">
        <v>3.9710000000000001</v>
      </c>
      <c r="AD1169" s="36">
        <v>93.207999999999998</v>
      </c>
    </row>
    <row r="1170" spans="1:30" s="37" customFormat="1" ht="15.75" customHeight="1" x14ac:dyDescent="0.2">
      <c r="A1170" s="26">
        <v>1607</v>
      </c>
      <c r="B1170" s="27" t="s">
        <v>1035</v>
      </c>
      <c r="C1170" s="27" t="s">
        <v>3094</v>
      </c>
      <c r="D1170" s="28">
        <v>0.01</v>
      </c>
      <c r="E1170" s="29">
        <v>15.16</v>
      </c>
      <c r="F1170" s="29">
        <v>15.09</v>
      </c>
      <c r="G1170" s="30" t="s">
        <v>39</v>
      </c>
      <c r="H1170" s="27" t="s">
        <v>71</v>
      </c>
      <c r="I1170" s="27" t="s">
        <v>49</v>
      </c>
      <c r="J1170" s="27" t="s">
        <v>72</v>
      </c>
      <c r="K1170" s="27" t="s">
        <v>73</v>
      </c>
      <c r="L1170" s="31" t="s">
        <v>2178</v>
      </c>
      <c r="M1170" s="32">
        <v>0.39</v>
      </c>
      <c r="N1170" s="27" t="s">
        <v>33</v>
      </c>
      <c r="O1170" s="27" t="s">
        <v>111</v>
      </c>
      <c r="P1170" s="27" t="s">
        <v>112</v>
      </c>
      <c r="Q1170" s="27" t="s">
        <v>1037</v>
      </c>
      <c r="R1170" s="33">
        <v>11520</v>
      </c>
      <c r="S1170" s="34">
        <v>42109</v>
      </c>
      <c r="T1170" s="34">
        <v>42109</v>
      </c>
      <c r="U1170" s="29">
        <v>-200.85900000000001</v>
      </c>
      <c r="V1170" s="26">
        <v>7</v>
      </c>
      <c r="W1170" s="29">
        <v>110.93</v>
      </c>
      <c r="X1170" s="26">
        <v>87994</v>
      </c>
      <c r="Y1170" s="35">
        <v>18.579999999999998</v>
      </c>
      <c r="Z1170" s="1" t="s">
        <v>3014</v>
      </c>
      <c r="AA1170" s="36">
        <v>1.0612000000000001</v>
      </c>
      <c r="AB1170" s="54">
        <v>67.667299999999997</v>
      </c>
      <c r="AC1170" s="54">
        <v>6.1803857142857144</v>
      </c>
      <c r="AD1170" s="36">
        <v>295.63779999999997</v>
      </c>
    </row>
    <row r="1171" spans="1:30" s="37" customFormat="1" ht="15.75" customHeight="1" x14ac:dyDescent="0.2">
      <c r="A1171" s="26">
        <v>555</v>
      </c>
      <c r="B1171" s="27" t="s">
        <v>1300</v>
      </c>
      <c r="C1171" s="27" t="s">
        <v>48</v>
      </c>
      <c r="D1171" s="28">
        <v>0.01</v>
      </c>
      <c r="E1171" s="29">
        <v>4.9800000000000004</v>
      </c>
      <c r="F1171" s="29">
        <v>7.44</v>
      </c>
      <c r="G1171" s="30" t="s">
        <v>39</v>
      </c>
      <c r="H1171" s="27" t="s">
        <v>94</v>
      </c>
      <c r="I1171" s="27" t="s">
        <v>49</v>
      </c>
      <c r="J1171" s="27" t="s">
        <v>88</v>
      </c>
      <c r="K1171" s="27" t="s">
        <v>73</v>
      </c>
      <c r="L1171" s="31" t="s">
        <v>2174</v>
      </c>
      <c r="M1171" s="32">
        <v>0.36</v>
      </c>
      <c r="N1171" s="27" t="s">
        <v>33</v>
      </c>
      <c r="O1171" s="27" t="s">
        <v>60</v>
      </c>
      <c r="P1171" s="27" t="s">
        <v>146</v>
      </c>
      <c r="Q1171" s="27" t="s">
        <v>1301</v>
      </c>
      <c r="R1171" s="33">
        <v>84062</v>
      </c>
      <c r="S1171" s="34">
        <v>42109</v>
      </c>
      <c r="T1171" s="34">
        <v>42118</v>
      </c>
      <c r="U1171" s="29">
        <v>-161.6328</v>
      </c>
      <c r="V1171" s="26">
        <v>16</v>
      </c>
      <c r="W1171" s="29">
        <v>83.86</v>
      </c>
      <c r="X1171" s="26">
        <v>86191</v>
      </c>
      <c r="Y1171" s="35">
        <v>17.920000000000002</v>
      </c>
      <c r="Z1171" s="1" t="s">
        <v>3013</v>
      </c>
      <c r="AA1171" s="36">
        <v>0.79680000000000006</v>
      </c>
      <c r="AB1171" s="54">
        <v>53.670400000000001</v>
      </c>
      <c r="AC1171" s="54">
        <v>1.8868499999999999</v>
      </c>
      <c r="AD1171" s="36">
        <v>237.25600000000003</v>
      </c>
    </row>
    <row r="1172" spans="1:30" s="37" customFormat="1" ht="15.75" customHeight="1" x14ac:dyDescent="0.2">
      <c r="A1172" s="26">
        <v>2952</v>
      </c>
      <c r="B1172" s="27" t="s">
        <v>2175</v>
      </c>
      <c r="C1172" s="27" t="s">
        <v>116</v>
      </c>
      <c r="D1172" s="28">
        <v>0.08</v>
      </c>
      <c r="E1172" s="29">
        <v>5.74</v>
      </c>
      <c r="F1172" s="29">
        <v>5.01</v>
      </c>
      <c r="G1172" s="30" t="s">
        <v>87</v>
      </c>
      <c r="H1172" s="27" t="s">
        <v>94</v>
      </c>
      <c r="I1172" s="27" t="s">
        <v>49</v>
      </c>
      <c r="J1172" s="27" t="s">
        <v>72</v>
      </c>
      <c r="K1172" s="27" t="s">
        <v>73</v>
      </c>
      <c r="L1172" s="31" t="s">
        <v>1065</v>
      </c>
      <c r="M1172" s="32">
        <v>0.39</v>
      </c>
      <c r="N1172" s="27" t="s">
        <v>33</v>
      </c>
      <c r="O1172" s="27" t="s">
        <v>111</v>
      </c>
      <c r="P1172" s="27" t="s">
        <v>317</v>
      </c>
      <c r="Q1172" s="27" t="s">
        <v>2176</v>
      </c>
      <c r="R1172" s="33">
        <v>43123</v>
      </c>
      <c r="S1172" s="34">
        <v>42109</v>
      </c>
      <c r="T1172" s="34">
        <v>42111</v>
      </c>
      <c r="U1172" s="29">
        <v>-61.628039999999999</v>
      </c>
      <c r="V1172" s="26">
        <v>12</v>
      </c>
      <c r="W1172" s="29">
        <v>70.03</v>
      </c>
      <c r="X1172" s="26">
        <v>91398</v>
      </c>
      <c r="Y1172" s="35">
        <v>9.89</v>
      </c>
      <c r="Z1172" s="1" t="s">
        <v>3014</v>
      </c>
      <c r="AA1172" s="36">
        <v>5.5104000000000006</v>
      </c>
      <c r="AB1172" s="54">
        <v>42.718299999999999</v>
      </c>
      <c r="AC1172" s="54">
        <v>2.2759750000000003</v>
      </c>
      <c r="AD1172" s="36">
        <v>121.13764</v>
      </c>
    </row>
    <row r="1173" spans="1:30" s="37" customFormat="1" ht="15.75" customHeight="1" x14ac:dyDescent="0.2">
      <c r="A1173" s="26">
        <v>1818</v>
      </c>
      <c r="B1173" s="27" t="s">
        <v>2179</v>
      </c>
      <c r="C1173" s="27" t="s">
        <v>3094</v>
      </c>
      <c r="D1173" s="28">
        <v>0.06</v>
      </c>
      <c r="E1173" s="29">
        <v>17.98</v>
      </c>
      <c r="F1173" s="29">
        <v>8.51</v>
      </c>
      <c r="G1173" s="30" t="s">
        <v>39</v>
      </c>
      <c r="H1173" s="27" t="s">
        <v>40</v>
      </c>
      <c r="I1173" s="27" t="s">
        <v>41</v>
      </c>
      <c r="J1173" s="27" t="s">
        <v>57</v>
      </c>
      <c r="K1173" s="27" t="s">
        <v>144</v>
      </c>
      <c r="L1173" s="31" t="s">
        <v>1880</v>
      </c>
      <c r="M1173" s="32">
        <v>0.4</v>
      </c>
      <c r="N1173" s="27" t="s">
        <v>33</v>
      </c>
      <c r="O1173" s="27" t="s">
        <v>53</v>
      </c>
      <c r="P1173" s="27" t="s">
        <v>289</v>
      </c>
      <c r="Q1173" s="27" t="s">
        <v>2180</v>
      </c>
      <c r="R1173" s="33">
        <v>48126</v>
      </c>
      <c r="S1173" s="34">
        <v>42109</v>
      </c>
      <c r="T1173" s="34">
        <v>42111</v>
      </c>
      <c r="U1173" s="29">
        <v>-47.243088</v>
      </c>
      <c r="V1173" s="26">
        <v>3</v>
      </c>
      <c r="W1173" s="29">
        <v>56.38</v>
      </c>
      <c r="X1173" s="26">
        <v>85991</v>
      </c>
      <c r="Y1173" s="35">
        <v>175.91</v>
      </c>
      <c r="Z1173" s="1" t="s">
        <v>3012</v>
      </c>
      <c r="AA1173" s="36">
        <v>3.2363999999999997</v>
      </c>
      <c r="AB1173" s="54">
        <v>33.828000000000003</v>
      </c>
      <c r="AC1173" s="54">
        <v>7.5173333333333332</v>
      </c>
      <c r="AD1173" s="36">
        <v>91.876688000000001</v>
      </c>
    </row>
    <row r="1174" spans="1:30" s="37" customFormat="1" ht="15.75" customHeight="1" x14ac:dyDescent="0.2">
      <c r="A1174" s="26">
        <v>2139</v>
      </c>
      <c r="B1174" s="27" t="s">
        <v>2182</v>
      </c>
      <c r="C1174" s="27" t="s">
        <v>26</v>
      </c>
      <c r="D1174" s="28">
        <v>0.05</v>
      </c>
      <c r="E1174" s="29">
        <v>2550.14</v>
      </c>
      <c r="F1174" s="29">
        <v>29.7</v>
      </c>
      <c r="G1174" s="30" t="s">
        <v>27</v>
      </c>
      <c r="H1174" s="27" t="s">
        <v>94</v>
      </c>
      <c r="I1174" s="27" t="s">
        <v>41</v>
      </c>
      <c r="J1174" s="27" t="s">
        <v>57</v>
      </c>
      <c r="K1174" s="27" t="s">
        <v>58</v>
      </c>
      <c r="L1174" s="31" t="s">
        <v>1972</v>
      </c>
      <c r="M1174" s="32">
        <v>0.56999999999999995</v>
      </c>
      <c r="N1174" s="27" t="s">
        <v>33</v>
      </c>
      <c r="O1174" s="27" t="s">
        <v>53</v>
      </c>
      <c r="P1174" s="27" t="s">
        <v>357</v>
      </c>
      <c r="Q1174" s="27" t="s">
        <v>130</v>
      </c>
      <c r="R1174" s="33">
        <v>53094</v>
      </c>
      <c r="S1174" s="34">
        <v>42110</v>
      </c>
      <c r="T1174" s="34">
        <v>42111</v>
      </c>
      <c r="U1174" s="29">
        <v>-3971.0628000000002</v>
      </c>
      <c r="V1174" s="26">
        <v>2</v>
      </c>
      <c r="W1174" s="29">
        <v>4845.2700000000004</v>
      </c>
      <c r="X1174" s="26">
        <v>86003</v>
      </c>
      <c r="Y1174" s="35">
        <v>2550.0899999999997</v>
      </c>
      <c r="Z1174" s="1" t="s">
        <v>3012</v>
      </c>
      <c r="AA1174" s="36">
        <v>255.01400000000001</v>
      </c>
      <c r="AB1174" s="54">
        <v>2083.4661000000006</v>
      </c>
      <c r="AC1174" s="54">
        <v>1380.9019499999999</v>
      </c>
      <c r="AD1174" s="36">
        <v>8531.6188000000002</v>
      </c>
    </row>
    <row r="1175" spans="1:30" s="37" customFormat="1" ht="15.75" customHeight="1" x14ac:dyDescent="0.2">
      <c r="A1175" s="26">
        <v>1916</v>
      </c>
      <c r="B1175" s="27" t="s">
        <v>1394</v>
      </c>
      <c r="C1175" s="27" t="s">
        <v>38</v>
      </c>
      <c r="D1175" s="28">
        <v>0.01</v>
      </c>
      <c r="E1175" s="29">
        <v>125.99</v>
      </c>
      <c r="F1175" s="29">
        <v>8.99</v>
      </c>
      <c r="G1175" s="30" t="s">
        <v>39</v>
      </c>
      <c r="H1175" s="27" t="s">
        <v>71</v>
      </c>
      <c r="I1175" s="27" t="s">
        <v>41</v>
      </c>
      <c r="J1175" s="27" t="s">
        <v>135</v>
      </c>
      <c r="K1175" s="27" t="s">
        <v>73</v>
      </c>
      <c r="L1175" s="31" t="s">
        <v>1654</v>
      </c>
      <c r="M1175" s="32">
        <v>0.55000000000000004</v>
      </c>
      <c r="N1175" s="27" t="s">
        <v>33</v>
      </c>
      <c r="O1175" s="27" t="s">
        <v>34</v>
      </c>
      <c r="P1175" s="27" t="s">
        <v>45</v>
      </c>
      <c r="Q1175" s="27" t="s">
        <v>1396</v>
      </c>
      <c r="R1175" s="33">
        <v>72209</v>
      </c>
      <c r="S1175" s="34">
        <v>42110</v>
      </c>
      <c r="T1175" s="34">
        <v>42112</v>
      </c>
      <c r="U1175" s="29">
        <v>-45.472000000000001</v>
      </c>
      <c r="V1175" s="26">
        <v>9</v>
      </c>
      <c r="W1175" s="29">
        <v>1011.44</v>
      </c>
      <c r="X1175" s="26">
        <v>85895</v>
      </c>
      <c r="Y1175" s="35">
        <v>125.97999999999999</v>
      </c>
      <c r="Z1175" s="1" t="s">
        <v>3011</v>
      </c>
      <c r="AA1175" s="36">
        <v>11.3391</v>
      </c>
      <c r="AB1175" s="54">
        <v>455.14799999999997</v>
      </c>
      <c r="AC1175" s="54">
        <v>61.81022222222223</v>
      </c>
      <c r="AD1175" s="36">
        <v>1036.5829000000001</v>
      </c>
    </row>
    <row r="1176" spans="1:30" s="37" customFormat="1" ht="15.75" customHeight="1" x14ac:dyDescent="0.2">
      <c r="A1176" s="26">
        <v>653</v>
      </c>
      <c r="B1176" s="27" t="s">
        <v>2183</v>
      </c>
      <c r="C1176" s="27" t="s">
        <v>3094</v>
      </c>
      <c r="D1176" s="28">
        <v>0</v>
      </c>
      <c r="E1176" s="29">
        <v>2.78</v>
      </c>
      <c r="F1176" s="29">
        <v>1.49</v>
      </c>
      <c r="G1176" s="30" t="s">
        <v>87</v>
      </c>
      <c r="H1176" s="27" t="s">
        <v>40</v>
      </c>
      <c r="I1176" s="27" t="s">
        <v>49</v>
      </c>
      <c r="J1176" s="27" t="s">
        <v>72</v>
      </c>
      <c r="K1176" s="27" t="s">
        <v>73</v>
      </c>
      <c r="L1176" s="31" t="s">
        <v>2184</v>
      </c>
      <c r="M1176" s="32">
        <v>0.36</v>
      </c>
      <c r="N1176" s="27" t="s">
        <v>33</v>
      </c>
      <c r="O1176" s="27" t="s">
        <v>60</v>
      </c>
      <c r="P1176" s="27" t="s">
        <v>90</v>
      </c>
      <c r="Q1176" s="27" t="s">
        <v>2146</v>
      </c>
      <c r="R1176" s="33">
        <v>91730</v>
      </c>
      <c r="S1176" s="34">
        <v>42110</v>
      </c>
      <c r="T1176" s="34">
        <v>42111</v>
      </c>
      <c r="U1176" s="29">
        <v>20.6448</v>
      </c>
      <c r="V1176" s="26">
        <v>9</v>
      </c>
      <c r="W1176" s="29">
        <v>29.92</v>
      </c>
      <c r="X1176" s="26">
        <v>91213</v>
      </c>
      <c r="Y1176" s="35">
        <v>2.78</v>
      </c>
      <c r="Z1176" s="1" t="s">
        <v>3013</v>
      </c>
      <c r="AA1176" s="36">
        <v>0</v>
      </c>
      <c r="AB1176" s="54">
        <v>19.148800000000001</v>
      </c>
      <c r="AC1176" s="54">
        <v>1.1968000000000001</v>
      </c>
      <c r="AD1176" s="36">
        <v>7.7852000000000032</v>
      </c>
    </row>
    <row r="1177" spans="1:30" s="37" customFormat="1" ht="15.75" customHeight="1" x14ac:dyDescent="0.2">
      <c r="A1177" s="26">
        <v>2004</v>
      </c>
      <c r="B1177" s="27" t="s">
        <v>2196</v>
      </c>
      <c r="C1177" s="27" t="s">
        <v>116</v>
      </c>
      <c r="D1177" s="28">
        <v>0.04</v>
      </c>
      <c r="E1177" s="29">
        <v>6783.02</v>
      </c>
      <c r="F1177" s="29">
        <v>24.49</v>
      </c>
      <c r="G1177" s="30" t="s">
        <v>39</v>
      </c>
      <c r="H1177" s="27" t="s">
        <v>71</v>
      </c>
      <c r="I1177" s="27" t="s">
        <v>41</v>
      </c>
      <c r="J1177" s="27" t="s">
        <v>57</v>
      </c>
      <c r="K1177" s="27" t="s">
        <v>65</v>
      </c>
      <c r="L1177" s="31" t="s">
        <v>314</v>
      </c>
      <c r="M1177" s="32">
        <v>0.39</v>
      </c>
      <c r="N1177" s="27" t="s">
        <v>33</v>
      </c>
      <c r="O1177" s="27" t="s">
        <v>60</v>
      </c>
      <c r="P1177" s="27" t="s">
        <v>277</v>
      </c>
      <c r="Q1177" s="27" t="s">
        <v>916</v>
      </c>
      <c r="R1177" s="33">
        <v>59715</v>
      </c>
      <c r="S1177" s="34">
        <v>42111</v>
      </c>
      <c r="T1177" s="34">
        <v>42113</v>
      </c>
      <c r="U1177" s="29">
        <v>-13562.637408000001</v>
      </c>
      <c r="V1177" s="26">
        <v>1</v>
      </c>
      <c r="W1177" s="29">
        <v>6569.07</v>
      </c>
      <c r="X1177" s="26">
        <v>91277</v>
      </c>
      <c r="Y1177" s="35">
        <v>55.879999999999995</v>
      </c>
      <c r="Z1177" s="1" t="s">
        <v>3013</v>
      </c>
      <c r="AA1177" s="36">
        <v>271.32080000000002</v>
      </c>
      <c r="AB1177" s="54">
        <v>4007.1326999999997</v>
      </c>
      <c r="AC1177" s="54">
        <v>2561.9373000000001</v>
      </c>
      <c r="AD1177" s="36">
        <v>19835.896608000003</v>
      </c>
    </row>
    <row r="1178" spans="1:30" s="37" customFormat="1" ht="15.75" customHeight="1" x14ac:dyDescent="0.2">
      <c r="A1178" s="26">
        <v>2593</v>
      </c>
      <c r="B1178" s="27" t="s">
        <v>1595</v>
      </c>
      <c r="C1178" s="27" t="s">
        <v>48</v>
      </c>
      <c r="D1178" s="28">
        <v>0.02</v>
      </c>
      <c r="E1178" s="29">
        <v>419.19</v>
      </c>
      <c r="F1178" s="29">
        <v>19.989999999999998</v>
      </c>
      <c r="G1178" s="30" t="s">
        <v>39</v>
      </c>
      <c r="H1178" s="27" t="s">
        <v>94</v>
      </c>
      <c r="I1178" s="27" t="s">
        <v>49</v>
      </c>
      <c r="J1178" s="27" t="s">
        <v>78</v>
      </c>
      <c r="K1178" s="27" t="s">
        <v>73</v>
      </c>
      <c r="L1178" s="31" t="s">
        <v>2192</v>
      </c>
      <c r="M1178" s="32">
        <v>0.57999999999999996</v>
      </c>
      <c r="N1178" s="27" t="s">
        <v>33</v>
      </c>
      <c r="O1178" s="27" t="s">
        <v>34</v>
      </c>
      <c r="P1178" s="27" t="s">
        <v>75</v>
      </c>
      <c r="Q1178" s="27" t="s">
        <v>1597</v>
      </c>
      <c r="R1178" s="33">
        <v>30605</v>
      </c>
      <c r="S1178" s="34">
        <v>42111</v>
      </c>
      <c r="T1178" s="34">
        <v>42111</v>
      </c>
      <c r="U1178" s="29">
        <v>-39.606000000000002</v>
      </c>
      <c r="V1178" s="26">
        <v>10</v>
      </c>
      <c r="W1178" s="29">
        <v>4354.55</v>
      </c>
      <c r="X1178" s="26">
        <v>87772</v>
      </c>
      <c r="Y1178" s="35">
        <v>6.2299999999999995</v>
      </c>
      <c r="Z1178" s="1" t="s">
        <v>3011</v>
      </c>
      <c r="AA1178" s="36">
        <v>83.838000000000008</v>
      </c>
      <c r="AB1178" s="54">
        <v>1828.9110000000003</v>
      </c>
      <c r="AC1178" s="54">
        <v>252.56390000000002</v>
      </c>
      <c r="AD1178" s="36">
        <v>4290.3280000000004</v>
      </c>
    </row>
    <row r="1179" spans="1:30" s="37" customFormat="1" ht="15.75" customHeight="1" x14ac:dyDescent="0.2">
      <c r="A1179" s="26">
        <v>1889</v>
      </c>
      <c r="B1179" s="27" t="s">
        <v>2190</v>
      </c>
      <c r="C1179" s="27" t="s">
        <v>48</v>
      </c>
      <c r="D1179" s="28">
        <v>0.09</v>
      </c>
      <c r="E1179" s="29">
        <v>78.8</v>
      </c>
      <c r="F1179" s="29">
        <v>35</v>
      </c>
      <c r="G1179" s="30" t="s">
        <v>39</v>
      </c>
      <c r="H1179" s="27" t="s">
        <v>71</v>
      </c>
      <c r="I1179" s="27" t="s">
        <v>49</v>
      </c>
      <c r="J1179" s="27" t="s">
        <v>78</v>
      </c>
      <c r="K1179" s="27" t="s">
        <v>65</v>
      </c>
      <c r="L1179" s="31" t="s">
        <v>2191</v>
      </c>
      <c r="M1179" s="32">
        <v>0.83</v>
      </c>
      <c r="N1179" s="27" t="s">
        <v>33</v>
      </c>
      <c r="O1179" s="27" t="s">
        <v>111</v>
      </c>
      <c r="P1179" s="27" t="s">
        <v>317</v>
      </c>
      <c r="Q1179" s="27" t="s">
        <v>1307</v>
      </c>
      <c r="R1179" s="33">
        <v>45429</v>
      </c>
      <c r="S1179" s="34">
        <v>42111</v>
      </c>
      <c r="T1179" s="34">
        <v>42115</v>
      </c>
      <c r="U1179" s="29">
        <v>-1025.0172</v>
      </c>
      <c r="V1179" s="26">
        <v>14</v>
      </c>
      <c r="W1179" s="29">
        <v>1059.3800000000001</v>
      </c>
      <c r="X1179" s="26">
        <v>90631</v>
      </c>
      <c r="Y1179" s="35">
        <v>12.2</v>
      </c>
      <c r="Z1179" s="1" t="s">
        <v>3014</v>
      </c>
      <c r="AA1179" s="36">
        <v>99.287999999999997</v>
      </c>
      <c r="AB1179" s="54">
        <v>180.09460000000007</v>
      </c>
      <c r="AC1179" s="54">
        <v>62.806100000000001</v>
      </c>
      <c r="AD1179" s="36">
        <v>1950.1092000000001</v>
      </c>
    </row>
    <row r="1180" spans="1:30" s="37" customFormat="1" ht="15.75" customHeight="1" x14ac:dyDescent="0.2">
      <c r="A1180" s="26">
        <v>377</v>
      </c>
      <c r="B1180" s="27" t="s">
        <v>2193</v>
      </c>
      <c r="C1180" s="27" t="s">
        <v>116</v>
      </c>
      <c r="D1180" s="28">
        <v>0.03</v>
      </c>
      <c r="E1180" s="29">
        <v>25.98</v>
      </c>
      <c r="F1180" s="29">
        <v>5.37</v>
      </c>
      <c r="G1180" s="30" t="s">
        <v>39</v>
      </c>
      <c r="H1180" s="27" t="s">
        <v>40</v>
      </c>
      <c r="I1180" s="27" t="s">
        <v>49</v>
      </c>
      <c r="J1180" s="27" t="s">
        <v>95</v>
      </c>
      <c r="K1180" s="27" t="s">
        <v>144</v>
      </c>
      <c r="L1180" s="31" t="s">
        <v>2194</v>
      </c>
      <c r="M1180" s="32">
        <v>0.5</v>
      </c>
      <c r="N1180" s="27" t="s">
        <v>33</v>
      </c>
      <c r="O1180" s="27" t="s">
        <v>53</v>
      </c>
      <c r="P1180" s="27" t="s">
        <v>103</v>
      </c>
      <c r="Q1180" s="27" t="s">
        <v>2195</v>
      </c>
      <c r="R1180" s="33">
        <v>60510</v>
      </c>
      <c r="S1180" s="34">
        <v>42111</v>
      </c>
      <c r="T1180" s="34">
        <v>42111</v>
      </c>
      <c r="U1180" s="29">
        <v>250.0376</v>
      </c>
      <c r="V1180" s="26">
        <v>17</v>
      </c>
      <c r="W1180" s="29">
        <v>460.87</v>
      </c>
      <c r="X1180" s="26">
        <v>89579</v>
      </c>
      <c r="Y1180" s="35">
        <v>125.97999999999999</v>
      </c>
      <c r="Z1180" s="1" t="s">
        <v>3012</v>
      </c>
      <c r="AA1180" s="36">
        <v>13.2498</v>
      </c>
      <c r="AB1180" s="54">
        <v>230.435</v>
      </c>
      <c r="AC1180" s="54">
        <v>13.555</v>
      </c>
      <c r="AD1180" s="36">
        <v>192.21260000000001</v>
      </c>
    </row>
    <row r="1181" spans="1:30" s="37" customFormat="1" ht="15.75" customHeight="1" x14ac:dyDescent="0.2">
      <c r="A1181" s="26">
        <v>1041</v>
      </c>
      <c r="B1181" s="27" t="s">
        <v>2185</v>
      </c>
      <c r="C1181" s="27" t="s">
        <v>26</v>
      </c>
      <c r="D1181" s="28">
        <v>0.06</v>
      </c>
      <c r="E1181" s="29">
        <v>55.94</v>
      </c>
      <c r="F1181" s="29">
        <v>4</v>
      </c>
      <c r="G1181" s="30" t="s">
        <v>39</v>
      </c>
      <c r="H1181" s="27" t="s">
        <v>3095</v>
      </c>
      <c r="I1181" s="27" t="s">
        <v>41</v>
      </c>
      <c r="J1181" s="27" t="s">
        <v>42</v>
      </c>
      <c r="K1181" s="27" t="s">
        <v>73</v>
      </c>
      <c r="L1181" s="31" t="s">
        <v>1784</v>
      </c>
      <c r="M1181" s="32">
        <v>0.74</v>
      </c>
      <c r="N1181" s="27" t="s">
        <v>33</v>
      </c>
      <c r="O1181" s="27" t="s">
        <v>60</v>
      </c>
      <c r="P1181" s="27" t="s">
        <v>90</v>
      </c>
      <c r="Q1181" s="27" t="s">
        <v>2186</v>
      </c>
      <c r="R1181" s="33">
        <v>95695</v>
      </c>
      <c r="S1181" s="34">
        <v>42111</v>
      </c>
      <c r="T1181" s="34">
        <v>42112</v>
      </c>
      <c r="U1181" s="29">
        <v>-13.77</v>
      </c>
      <c r="V1181" s="26">
        <v>6</v>
      </c>
      <c r="W1181" s="29">
        <v>322.77</v>
      </c>
      <c r="X1181" s="26">
        <v>87846</v>
      </c>
      <c r="Y1181" s="35">
        <v>125.97999999999999</v>
      </c>
      <c r="Z1181" s="1" t="s">
        <v>3013</v>
      </c>
      <c r="AA1181" s="36">
        <v>20.138399999999997</v>
      </c>
      <c r="AB1181" s="54">
        <v>83.920199999999994</v>
      </c>
      <c r="AC1181" s="54">
        <v>39.808299999999996</v>
      </c>
      <c r="AD1181" s="36">
        <v>312.40159999999997</v>
      </c>
    </row>
    <row r="1182" spans="1:30" s="37" customFormat="1" ht="15.75" customHeight="1" x14ac:dyDescent="0.2">
      <c r="A1182" s="26">
        <v>2867</v>
      </c>
      <c r="B1182" s="27" t="s">
        <v>2189</v>
      </c>
      <c r="C1182" s="27" t="s">
        <v>38</v>
      </c>
      <c r="D1182" s="28">
        <v>0.01</v>
      </c>
      <c r="E1182" s="29">
        <v>125.99</v>
      </c>
      <c r="F1182" s="29">
        <v>8.99</v>
      </c>
      <c r="G1182" s="30" t="s">
        <v>39</v>
      </c>
      <c r="H1182" s="27" t="s">
        <v>94</v>
      </c>
      <c r="I1182" s="27" t="s">
        <v>41</v>
      </c>
      <c r="J1182" s="27" t="s">
        <v>135</v>
      </c>
      <c r="K1182" s="27" t="s">
        <v>73</v>
      </c>
      <c r="L1182" s="31" t="s">
        <v>353</v>
      </c>
      <c r="M1182" s="32">
        <v>0.59</v>
      </c>
      <c r="N1182" s="27" t="s">
        <v>33</v>
      </c>
      <c r="O1182" s="27" t="s">
        <v>111</v>
      </c>
      <c r="P1182" s="27" t="s">
        <v>374</v>
      </c>
      <c r="Q1182" s="27" t="s">
        <v>67</v>
      </c>
      <c r="R1182" s="33">
        <v>20016</v>
      </c>
      <c r="S1182" s="34">
        <v>42111</v>
      </c>
      <c r="T1182" s="34">
        <v>42112</v>
      </c>
      <c r="U1182" s="29">
        <v>-582.64800000000002</v>
      </c>
      <c r="V1182" s="26">
        <v>2</v>
      </c>
      <c r="W1182" s="29">
        <v>226.88</v>
      </c>
      <c r="X1182" s="26">
        <v>11013</v>
      </c>
      <c r="Y1182" s="35">
        <v>78.709999999999994</v>
      </c>
      <c r="Z1182" s="1" t="s">
        <v>3014</v>
      </c>
      <c r="AA1182" s="36">
        <v>2.5198</v>
      </c>
      <c r="AB1182" s="54">
        <v>93.020800000000008</v>
      </c>
      <c r="AC1182" s="54">
        <v>66.929599999999994</v>
      </c>
      <c r="AD1182" s="36">
        <v>798.01819999999998</v>
      </c>
    </row>
    <row r="1183" spans="1:30" s="37" customFormat="1" ht="15.75" customHeight="1" x14ac:dyDescent="0.2">
      <c r="A1183" s="26">
        <v>2868</v>
      </c>
      <c r="B1183" s="27" t="s">
        <v>322</v>
      </c>
      <c r="C1183" s="27" t="s">
        <v>38</v>
      </c>
      <c r="D1183" s="28">
        <v>0.01</v>
      </c>
      <c r="E1183" s="29">
        <v>125.99</v>
      </c>
      <c r="F1183" s="29">
        <v>8.99</v>
      </c>
      <c r="G1183" s="30" t="s">
        <v>39</v>
      </c>
      <c r="H1183" s="27" t="s">
        <v>94</v>
      </c>
      <c r="I1183" s="27" t="s">
        <v>41</v>
      </c>
      <c r="J1183" s="27" t="s">
        <v>135</v>
      </c>
      <c r="K1183" s="27" t="s">
        <v>73</v>
      </c>
      <c r="L1183" s="31" t="s">
        <v>353</v>
      </c>
      <c r="M1183" s="32">
        <v>0.59</v>
      </c>
      <c r="N1183" s="27" t="s">
        <v>33</v>
      </c>
      <c r="O1183" s="27" t="s">
        <v>60</v>
      </c>
      <c r="P1183" s="27" t="s">
        <v>67</v>
      </c>
      <c r="Q1183" s="27" t="s">
        <v>324</v>
      </c>
      <c r="R1183" s="33">
        <v>98026</v>
      </c>
      <c r="S1183" s="34">
        <v>42111</v>
      </c>
      <c r="T1183" s="34">
        <v>42112</v>
      </c>
      <c r="U1183" s="29">
        <v>-582.64800000000002</v>
      </c>
      <c r="V1183" s="26">
        <v>1</v>
      </c>
      <c r="W1183" s="29">
        <v>113.44</v>
      </c>
      <c r="X1183" s="26">
        <v>85827</v>
      </c>
      <c r="Y1183" s="35">
        <v>419.17</v>
      </c>
      <c r="Z1183" s="1" t="s">
        <v>3013</v>
      </c>
      <c r="AA1183" s="36">
        <v>1.2599</v>
      </c>
      <c r="AB1183" s="54">
        <v>46.510400000000004</v>
      </c>
      <c r="AC1183" s="54">
        <v>66.929599999999994</v>
      </c>
      <c r="AD1183" s="36">
        <v>685.83809999999994</v>
      </c>
    </row>
    <row r="1184" spans="1:30" s="37" customFormat="1" ht="15.75" customHeight="1" x14ac:dyDescent="0.2">
      <c r="A1184" s="26">
        <v>1041</v>
      </c>
      <c r="B1184" s="27" t="s">
        <v>2185</v>
      </c>
      <c r="C1184" s="27" t="s">
        <v>26</v>
      </c>
      <c r="D1184" s="28">
        <v>7.0000000000000007E-2</v>
      </c>
      <c r="E1184" s="29">
        <v>6.3</v>
      </c>
      <c r="F1184" s="29">
        <v>0.5</v>
      </c>
      <c r="G1184" s="30" t="s">
        <v>39</v>
      </c>
      <c r="H1184" s="27" t="s">
        <v>3095</v>
      </c>
      <c r="I1184" s="27" t="s">
        <v>49</v>
      </c>
      <c r="J1184" s="27" t="s">
        <v>152</v>
      </c>
      <c r="K1184" s="27" t="s">
        <v>73</v>
      </c>
      <c r="L1184" s="31" t="s">
        <v>826</v>
      </c>
      <c r="M1184" s="32">
        <v>0.39</v>
      </c>
      <c r="N1184" s="27" t="s">
        <v>33</v>
      </c>
      <c r="O1184" s="27" t="s">
        <v>60</v>
      </c>
      <c r="P1184" s="27" t="s">
        <v>90</v>
      </c>
      <c r="Q1184" s="27" t="s">
        <v>2186</v>
      </c>
      <c r="R1184" s="33">
        <v>95695</v>
      </c>
      <c r="S1184" s="34">
        <v>42111</v>
      </c>
      <c r="T1184" s="34">
        <v>42111</v>
      </c>
      <c r="U1184" s="29">
        <v>44.912100000000002</v>
      </c>
      <c r="V1184" s="26">
        <v>11</v>
      </c>
      <c r="W1184" s="29">
        <v>65.09</v>
      </c>
      <c r="X1184" s="26">
        <v>87846</v>
      </c>
      <c r="Y1184" s="35">
        <v>25.95</v>
      </c>
      <c r="Z1184" s="1" t="s">
        <v>3013</v>
      </c>
      <c r="AA1184" s="36">
        <v>4.851</v>
      </c>
      <c r="AB1184" s="54">
        <v>39.704900000000002</v>
      </c>
      <c r="AC1184" s="54">
        <v>2.3077363636363639</v>
      </c>
      <c r="AD1184" s="36">
        <v>14.826900000000002</v>
      </c>
    </row>
    <row r="1185" spans="1:30" s="37" customFormat="1" ht="15.75" customHeight="1" x14ac:dyDescent="0.2">
      <c r="A1185" s="26">
        <v>1350</v>
      </c>
      <c r="B1185" s="27" t="s">
        <v>2187</v>
      </c>
      <c r="C1185" s="27" t="s">
        <v>38</v>
      </c>
      <c r="D1185" s="28">
        <v>0</v>
      </c>
      <c r="E1185" s="29">
        <v>12.2</v>
      </c>
      <c r="F1185" s="29">
        <v>6.02</v>
      </c>
      <c r="G1185" s="30" t="s">
        <v>87</v>
      </c>
      <c r="H1185" s="27" t="s">
        <v>71</v>
      </c>
      <c r="I1185" s="27" t="s">
        <v>29</v>
      </c>
      <c r="J1185" s="27" t="s">
        <v>126</v>
      </c>
      <c r="K1185" s="27" t="s">
        <v>43</v>
      </c>
      <c r="L1185" s="31" t="s">
        <v>2156</v>
      </c>
      <c r="M1185" s="32">
        <v>0.43</v>
      </c>
      <c r="N1185" s="27" t="s">
        <v>33</v>
      </c>
      <c r="O1185" s="27" t="s">
        <v>34</v>
      </c>
      <c r="P1185" s="27" t="s">
        <v>123</v>
      </c>
      <c r="Q1185" s="27" t="s">
        <v>2188</v>
      </c>
      <c r="R1185" s="33">
        <v>33055</v>
      </c>
      <c r="S1185" s="34">
        <v>42111</v>
      </c>
      <c r="T1185" s="34">
        <v>42112</v>
      </c>
      <c r="U1185" s="29">
        <v>-172.298</v>
      </c>
      <c r="V1185" s="26">
        <v>4</v>
      </c>
      <c r="W1185" s="29">
        <v>56.24</v>
      </c>
      <c r="X1185" s="26">
        <v>88233</v>
      </c>
      <c r="Y1185" s="35">
        <v>4.1800000000000006</v>
      </c>
      <c r="Z1185" s="1" t="s">
        <v>3011</v>
      </c>
      <c r="AA1185" s="36">
        <v>0</v>
      </c>
      <c r="AB1185" s="54">
        <v>32.056800000000003</v>
      </c>
      <c r="AC1185" s="54">
        <v>6.0457999999999998</v>
      </c>
      <c r="AD1185" s="36">
        <v>222.518</v>
      </c>
    </row>
    <row r="1186" spans="1:30" s="37" customFormat="1" ht="15.75" customHeight="1" x14ac:dyDescent="0.2">
      <c r="A1186" s="26">
        <v>2004</v>
      </c>
      <c r="B1186" s="27" t="s">
        <v>2196</v>
      </c>
      <c r="C1186" s="27" t="s">
        <v>116</v>
      </c>
      <c r="D1186" s="28">
        <v>0.06</v>
      </c>
      <c r="E1186" s="29">
        <v>4.24</v>
      </c>
      <c r="F1186" s="29">
        <v>5.41</v>
      </c>
      <c r="G1186" s="30" t="s">
        <v>39</v>
      </c>
      <c r="H1186" s="27" t="s">
        <v>71</v>
      </c>
      <c r="I1186" s="27" t="s">
        <v>49</v>
      </c>
      <c r="J1186" s="27" t="s">
        <v>72</v>
      </c>
      <c r="K1186" s="27" t="s">
        <v>73</v>
      </c>
      <c r="L1186" s="31" t="s">
        <v>1671</v>
      </c>
      <c r="M1186" s="32">
        <v>0.35</v>
      </c>
      <c r="N1186" s="27" t="s">
        <v>33</v>
      </c>
      <c r="O1186" s="27" t="s">
        <v>60</v>
      </c>
      <c r="P1186" s="27" t="s">
        <v>277</v>
      </c>
      <c r="Q1186" s="27" t="s">
        <v>916</v>
      </c>
      <c r="R1186" s="33">
        <v>59715</v>
      </c>
      <c r="S1186" s="34">
        <v>42111</v>
      </c>
      <c r="T1186" s="34">
        <v>42113</v>
      </c>
      <c r="U1186" s="29">
        <v>-78.916679999999999</v>
      </c>
      <c r="V1186" s="26">
        <v>10</v>
      </c>
      <c r="W1186" s="29">
        <v>45</v>
      </c>
      <c r="X1186" s="26">
        <v>91277</v>
      </c>
      <c r="Y1186" s="35">
        <v>6782.9800000000005</v>
      </c>
      <c r="Z1186" s="1" t="s">
        <v>3013</v>
      </c>
      <c r="AA1186" s="36">
        <v>2.544</v>
      </c>
      <c r="AB1186" s="54">
        <v>29.25</v>
      </c>
      <c r="AC1186" s="54">
        <v>1.575</v>
      </c>
      <c r="AD1186" s="36">
        <v>115.96268000000001</v>
      </c>
    </row>
    <row r="1187" spans="1:30" s="37" customFormat="1" ht="15.75" customHeight="1" x14ac:dyDescent="0.2">
      <c r="A1187" s="26">
        <v>1959</v>
      </c>
      <c r="B1187" s="27" t="s">
        <v>709</v>
      </c>
      <c r="C1187" s="27" t="s">
        <v>48</v>
      </c>
      <c r="D1187" s="28">
        <v>0.02</v>
      </c>
      <c r="E1187" s="29">
        <v>48.04</v>
      </c>
      <c r="F1187" s="29">
        <v>5.79</v>
      </c>
      <c r="G1187" s="30" t="s">
        <v>39</v>
      </c>
      <c r="H1187" s="27" t="s">
        <v>71</v>
      </c>
      <c r="I1187" s="27" t="s">
        <v>49</v>
      </c>
      <c r="J1187" s="27" t="s">
        <v>88</v>
      </c>
      <c r="K1187" s="27" t="s">
        <v>73</v>
      </c>
      <c r="L1187" s="31" t="s">
        <v>2201</v>
      </c>
      <c r="M1187" s="32">
        <v>0.37</v>
      </c>
      <c r="N1187" s="27" t="s">
        <v>33</v>
      </c>
      <c r="O1187" s="27" t="s">
        <v>34</v>
      </c>
      <c r="P1187" s="27" t="s">
        <v>123</v>
      </c>
      <c r="Q1187" s="27" t="s">
        <v>128</v>
      </c>
      <c r="R1187" s="33">
        <v>33916</v>
      </c>
      <c r="S1187" s="34">
        <v>42112</v>
      </c>
      <c r="T1187" s="34">
        <v>42117</v>
      </c>
      <c r="U1187" s="29">
        <v>624.23900000000003</v>
      </c>
      <c r="V1187" s="26">
        <v>74</v>
      </c>
      <c r="W1187" s="29">
        <v>3598.82</v>
      </c>
      <c r="X1187" s="26">
        <v>26342</v>
      </c>
      <c r="Y1187" s="35">
        <v>55.97</v>
      </c>
      <c r="Z1187" s="1" t="s">
        <v>3011</v>
      </c>
      <c r="AA1187" s="36">
        <v>71.099199999999996</v>
      </c>
      <c r="AB1187" s="54">
        <v>2267.2566000000002</v>
      </c>
      <c r="AC1187" s="54">
        <v>17.9941</v>
      </c>
      <c r="AD1187" s="36">
        <v>2897.6918000000001</v>
      </c>
    </row>
    <row r="1188" spans="1:30" s="37" customFormat="1" ht="15.75" customHeight="1" x14ac:dyDescent="0.2">
      <c r="A1188" s="26">
        <v>2097</v>
      </c>
      <c r="B1188" s="27" t="s">
        <v>2208</v>
      </c>
      <c r="C1188" s="27" t="s">
        <v>116</v>
      </c>
      <c r="D1188" s="28">
        <v>0.1</v>
      </c>
      <c r="E1188" s="29">
        <v>300.97000000000003</v>
      </c>
      <c r="F1188" s="29">
        <v>7.18</v>
      </c>
      <c r="G1188" s="30" t="s">
        <v>39</v>
      </c>
      <c r="H1188" s="27" t="s">
        <v>71</v>
      </c>
      <c r="I1188" s="27" t="s">
        <v>41</v>
      </c>
      <c r="J1188" s="27" t="s">
        <v>42</v>
      </c>
      <c r="K1188" s="27" t="s">
        <v>73</v>
      </c>
      <c r="L1188" s="31" t="s">
        <v>2209</v>
      </c>
      <c r="M1188" s="32">
        <v>0.48</v>
      </c>
      <c r="N1188" s="27" t="s">
        <v>33</v>
      </c>
      <c r="O1188" s="27" t="s">
        <v>34</v>
      </c>
      <c r="P1188" s="27" t="s">
        <v>271</v>
      </c>
      <c r="Q1188" s="27" t="s">
        <v>272</v>
      </c>
      <c r="R1188" s="33">
        <v>29915</v>
      </c>
      <c r="S1188" s="34">
        <v>42112</v>
      </c>
      <c r="T1188" s="34">
        <v>42113</v>
      </c>
      <c r="U1188" s="29">
        <v>138.018</v>
      </c>
      <c r="V1188" s="26">
        <v>4</v>
      </c>
      <c r="W1188" s="29">
        <v>1094.33</v>
      </c>
      <c r="X1188" s="26">
        <v>87889</v>
      </c>
      <c r="Y1188" s="35">
        <v>65.949999999999989</v>
      </c>
      <c r="Z1188" s="1" t="s">
        <v>3011</v>
      </c>
      <c r="AA1188" s="36">
        <v>120.38800000000002</v>
      </c>
      <c r="AB1188" s="54">
        <v>569.05160000000001</v>
      </c>
      <c r="AC1188" s="54">
        <v>131.31959999999998</v>
      </c>
      <c r="AD1188" s="36">
        <v>828.74399999999991</v>
      </c>
    </row>
    <row r="1189" spans="1:30" s="37" customFormat="1" ht="15.75" customHeight="1" x14ac:dyDescent="0.2">
      <c r="A1189" s="26">
        <v>507</v>
      </c>
      <c r="B1189" s="27" t="s">
        <v>2197</v>
      </c>
      <c r="C1189" s="27" t="s">
        <v>26</v>
      </c>
      <c r="D1189" s="28">
        <v>0.04</v>
      </c>
      <c r="E1189" s="29">
        <v>65.989999999999995</v>
      </c>
      <c r="F1189" s="29">
        <v>8.99</v>
      </c>
      <c r="G1189" s="30" t="s">
        <v>39</v>
      </c>
      <c r="H1189" s="27" t="s">
        <v>94</v>
      </c>
      <c r="I1189" s="27" t="s">
        <v>41</v>
      </c>
      <c r="J1189" s="27" t="s">
        <v>135</v>
      </c>
      <c r="K1189" s="27" t="s">
        <v>73</v>
      </c>
      <c r="L1189" s="31" t="s">
        <v>1864</v>
      </c>
      <c r="M1189" s="32">
        <v>0.56000000000000005</v>
      </c>
      <c r="N1189" s="27" t="s">
        <v>33</v>
      </c>
      <c r="O1189" s="27" t="s">
        <v>34</v>
      </c>
      <c r="P1189" s="27" t="s">
        <v>388</v>
      </c>
      <c r="Q1189" s="27" t="s">
        <v>2198</v>
      </c>
      <c r="R1189" s="33">
        <v>42104</v>
      </c>
      <c r="S1189" s="34">
        <v>42112</v>
      </c>
      <c r="T1189" s="34">
        <v>42113</v>
      </c>
      <c r="U1189" s="29">
        <v>131.334</v>
      </c>
      <c r="V1189" s="26">
        <v>17</v>
      </c>
      <c r="W1189" s="29">
        <v>946.29</v>
      </c>
      <c r="X1189" s="26">
        <v>87357</v>
      </c>
      <c r="Y1189" s="35">
        <v>130.95999999999998</v>
      </c>
      <c r="Z1189" s="1" t="s">
        <v>3011</v>
      </c>
      <c r="AA1189" s="36">
        <v>44.873199999999997</v>
      </c>
      <c r="AB1189" s="54">
        <v>416.36759999999992</v>
      </c>
      <c r="AC1189" s="54">
        <v>31.171905882352945</v>
      </c>
      <c r="AD1189" s="36">
        <v>761.0927999999999</v>
      </c>
    </row>
    <row r="1190" spans="1:30" s="37" customFormat="1" ht="15.75" customHeight="1" x14ac:dyDescent="0.2">
      <c r="A1190" s="26">
        <v>1962</v>
      </c>
      <c r="B1190" s="27" t="s">
        <v>2202</v>
      </c>
      <c r="C1190" s="27" t="s">
        <v>48</v>
      </c>
      <c r="D1190" s="28">
        <v>0.02</v>
      </c>
      <c r="E1190" s="29">
        <v>48.04</v>
      </c>
      <c r="F1190" s="29">
        <v>5.79</v>
      </c>
      <c r="G1190" s="30" t="s">
        <v>39</v>
      </c>
      <c r="H1190" s="27" t="s">
        <v>71</v>
      </c>
      <c r="I1190" s="27" t="s">
        <v>49</v>
      </c>
      <c r="J1190" s="27" t="s">
        <v>88</v>
      </c>
      <c r="K1190" s="27" t="s">
        <v>73</v>
      </c>
      <c r="L1190" s="31" t="s">
        <v>2201</v>
      </c>
      <c r="M1190" s="32">
        <v>0.37</v>
      </c>
      <c r="N1190" s="27" t="s">
        <v>33</v>
      </c>
      <c r="O1190" s="27" t="s">
        <v>53</v>
      </c>
      <c r="P1190" s="27" t="s">
        <v>289</v>
      </c>
      <c r="Q1190" s="27" t="s">
        <v>2203</v>
      </c>
      <c r="R1190" s="33">
        <v>48601</v>
      </c>
      <c r="S1190" s="34">
        <v>42112</v>
      </c>
      <c r="T1190" s="34">
        <v>42117</v>
      </c>
      <c r="U1190" s="29">
        <v>604.01909999999998</v>
      </c>
      <c r="V1190" s="26">
        <v>18</v>
      </c>
      <c r="W1190" s="29">
        <v>875.39</v>
      </c>
      <c r="X1190" s="26">
        <v>88857</v>
      </c>
      <c r="Y1190" s="35">
        <v>9.9700000000000006</v>
      </c>
      <c r="Z1190" s="1" t="s">
        <v>3012</v>
      </c>
      <c r="AA1190" s="36">
        <v>17.2944</v>
      </c>
      <c r="AB1190" s="54">
        <v>551.49569999999994</v>
      </c>
      <c r="AC1190" s="54">
        <v>17.994127777777777</v>
      </c>
      <c r="AD1190" s="36">
        <v>248.28650000000005</v>
      </c>
    </row>
    <row r="1191" spans="1:30" s="37" customFormat="1" ht="15.75" customHeight="1" x14ac:dyDescent="0.2">
      <c r="A1191" s="26">
        <v>665</v>
      </c>
      <c r="B1191" s="27" t="s">
        <v>551</v>
      </c>
      <c r="C1191" s="27" t="s">
        <v>26</v>
      </c>
      <c r="D1191" s="28">
        <v>0.02</v>
      </c>
      <c r="E1191" s="29">
        <v>130.97999999999999</v>
      </c>
      <c r="F1191" s="29">
        <v>30</v>
      </c>
      <c r="G1191" s="30" t="s">
        <v>27</v>
      </c>
      <c r="H1191" s="27" t="s">
        <v>94</v>
      </c>
      <c r="I1191" s="27" t="s">
        <v>29</v>
      </c>
      <c r="J1191" s="27" t="s">
        <v>109</v>
      </c>
      <c r="K1191" s="27" t="s">
        <v>58</v>
      </c>
      <c r="L1191" s="31" t="s">
        <v>2199</v>
      </c>
      <c r="M1191" s="32">
        <v>0.78</v>
      </c>
      <c r="N1191" s="27" t="s">
        <v>33</v>
      </c>
      <c r="O1191" s="27" t="s">
        <v>34</v>
      </c>
      <c r="P1191" s="27" t="s">
        <v>400</v>
      </c>
      <c r="Q1191" s="27" t="s">
        <v>552</v>
      </c>
      <c r="R1191" s="33">
        <v>37130</v>
      </c>
      <c r="S1191" s="34">
        <v>42112</v>
      </c>
      <c r="T1191" s="34">
        <v>42113</v>
      </c>
      <c r="U1191" s="29">
        <v>90.762</v>
      </c>
      <c r="V1191" s="26">
        <v>6</v>
      </c>
      <c r="W1191" s="29">
        <v>793.39</v>
      </c>
      <c r="X1191" s="26">
        <v>88678</v>
      </c>
      <c r="Y1191" s="35">
        <v>48.019999999999996</v>
      </c>
      <c r="Z1191" s="1" t="s">
        <v>3011</v>
      </c>
      <c r="AA1191" s="36">
        <v>15.717599999999997</v>
      </c>
      <c r="AB1191" s="54">
        <v>174.54579999999999</v>
      </c>
      <c r="AC1191" s="54">
        <v>103.1407</v>
      </c>
      <c r="AD1191" s="36">
        <v>656.91039999999998</v>
      </c>
    </row>
    <row r="1192" spans="1:30" s="37" customFormat="1" ht="15.75" customHeight="1" x14ac:dyDescent="0.2">
      <c r="A1192" s="26">
        <v>507</v>
      </c>
      <c r="B1192" s="27" t="s">
        <v>2197</v>
      </c>
      <c r="C1192" s="27" t="s">
        <v>26</v>
      </c>
      <c r="D1192" s="28">
        <v>0.01</v>
      </c>
      <c r="E1192" s="29">
        <v>55.98</v>
      </c>
      <c r="F1192" s="29">
        <v>4.8600000000000003</v>
      </c>
      <c r="G1192" s="30" t="s">
        <v>87</v>
      </c>
      <c r="H1192" s="27" t="s">
        <v>94</v>
      </c>
      <c r="I1192" s="27" t="s">
        <v>49</v>
      </c>
      <c r="J1192" s="27" t="s">
        <v>88</v>
      </c>
      <c r="K1192" s="27" t="s">
        <v>73</v>
      </c>
      <c r="L1192" s="31" t="s">
        <v>1715</v>
      </c>
      <c r="M1192" s="32">
        <v>0.36</v>
      </c>
      <c r="N1192" s="27" t="s">
        <v>33</v>
      </c>
      <c r="O1192" s="27" t="s">
        <v>34</v>
      </c>
      <c r="P1192" s="27" t="s">
        <v>388</v>
      </c>
      <c r="Q1192" s="27" t="s">
        <v>2198</v>
      </c>
      <c r="R1192" s="33">
        <v>42104</v>
      </c>
      <c r="S1192" s="34">
        <v>42112</v>
      </c>
      <c r="T1192" s="34">
        <v>42114</v>
      </c>
      <c r="U1192" s="29">
        <v>32.940899999999999</v>
      </c>
      <c r="V1192" s="26">
        <v>11</v>
      </c>
      <c r="W1192" s="29">
        <v>646.97</v>
      </c>
      <c r="X1192" s="26">
        <v>87357</v>
      </c>
      <c r="Y1192" s="35">
        <v>6.64</v>
      </c>
      <c r="Z1192" s="1" t="s">
        <v>3011</v>
      </c>
      <c r="AA1192" s="36">
        <v>6.1577999999999999</v>
      </c>
      <c r="AB1192" s="54">
        <v>414.06080000000003</v>
      </c>
      <c r="AC1192" s="54">
        <v>21.173563636363639</v>
      </c>
      <c r="AD1192" s="36">
        <v>603.01130000000001</v>
      </c>
    </row>
    <row r="1193" spans="1:30" s="37" customFormat="1" ht="15.75" customHeight="1" x14ac:dyDescent="0.2">
      <c r="A1193" s="26">
        <v>2655</v>
      </c>
      <c r="B1193" s="27" t="s">
        <v>2076</v>
      </c>
      <c r="C1193" s="27" t="s">
        <v>116</v>
      </c>
      <c r="D1193" s="28">
        <v>0.09</v>
      </c>
      <c r="E1193" s="29">
        <v>89.99</v>
      </c>
      <c r="F1193" s="29">
        <v>42</v>
      </c>
      <c r="G1193" s="30" t="s">
        <v>27</v>
      </c>
      <c r="H1193" s="27" t="s">
        <v>40</v>
      </c>
      <c r="I1193" s="27" t="s">
        <v>29</v>
      </c>
      <c r="J1193" s="27" t="s">
        <v>109</v>
      </c>
      <c r="K1193" s="27" t="s">
        <v>58</v>
      </c>
      <c r="L1193" s="31" t="s">
        <v>1211</v>
      </c>
      <c r="M1193" s="32">
        <v>0.66</v>
      </c>
      <c r="N1193" s="27" t="s">
        <v>33</v>
      </c>
      <c r="O1193" s="27" t="s">
        <v>34</v>
      </c>
      <c r="P1193" s="27" t="s">
        <v>75</v>
      </c>
      <c r="Q1193" s="27" t="s">
        <v>361</v>
      </c>
      <c r="R1193" s="33">
        <v>30318</v>
      </c>
      <c r="S1193" s="34">
        <v>42112</v>
      </c>
      <c r="T1193" s="34">
        <v>42112</v>
      </c>
      <c r="U1193" s="29">
        <v>223.416</v>
      </c>
      <c r="V1193" s="26">
        <v>6</v>
      </c>
      <c r="W1193" s="29">
        <v>511.25</v>
      </c>
      <c r="X1193" s="26">
        <v>86063</v>
      </c>
      <c r="Y1193" s="35">
        <v>48.019999999999996</v>
      </c>
      <c r="Z1193" s="1" t="s">
        <v>3011</v>
      </c>
      <c r="AA1193" s="36">
        <v>48.5946</v>
      </c>
      <c r="AB1193" s="54">
        <v>173.82499999999999</v>
      </c>
      <c r="AC1193" s="54">
        <v>56.237499999999997</v>
      </c>
      <c r="AD1193" s="36">
        <v>197.23939999999999</v>
      </c>
    </row>
    <row r="1194" spans="1:30" s="37" customFormat="1" ht="15.75" customHeight="1" x14ac:dyDescent="0.2">
      <c r="A1194" s="26">
        <v>1959</v>
      </c>
      <c r="B1194" s="27" t="s">
        <v>709</v>
      </c>
      <c r="C1194" s="27" t="s">
        <v>48</v>
      </c>
      <c r="D1194" s="28">
        <v>0.02</v>
      </c>
      <c r="E1194" s="29">
        <v>9.99</v>
      </c>
      <c r="F1194" s="29">
        <v>11.59</v>
      </c>
      <c r="G1194" s="30" t="s">
        <v>39</v>
      </c>
      <c r="H1194" s="27" t="s">
        <v>71</v>
      </c>
      <c r="I1194" s="27" t="s">
        <v>49</v>
      </c>
      <c r="J1194" s="27" t="s">
        <v>88</v>
      </c>
      <c r="K1194" s="27" t="s">
        <v>73</v>
      </c>
      <c r="L1194" s="31" t="s">
        <v>2200</v>
      </c>
      <c r="M1194" s="32">
        <v>0.4</v>
      </c>
      <c r="N1194" s="27" t="s">
        <v>33</v>
      </c>
      <c r="O1194" s="27" t="s">
        <v>34</v>
      </c>
      <c r="P1194" s="27" t="s">
        <v>123</v>
      </c>
      <c r="Q1194" s="27" t="s">
        <v>128</v>
      </c>
      <c r="R1194" s="33">
        <v>33916</v>
      </c>
      <c r="S1194" s="34">
        <v>42112</v>
      </c>
      <c r="T1194" s="34">
        <v>42121</v>
      </c>
      <c r="U1194" s="29">
        <v>-171.15770000000001</v>
      </c>
      <c r="V1194" s="26">
        <v>43</v>
      </c>
      <c r="W1194" s="29">
        <v>475.42</v>
      </c>
      <c r="X1194" s="26">
        <v>26342</v>
      </c>
      <c r="Y1194" s="35">
        <v>6.64</v>
      </c>
      <c r="Z1194" s="1" t="s">
        <v>3011</v>
      </c>
      <c r="AA1194" s="36">
        <v>8.5914000000000001</v>
      </c>
      <c r="AB1194" s="54">
        <v>285.25200000000001</v>
      </c>
      <c r="AC1194" s="54">
        <v>4.4225116279069772</v>
      </c>
      <c r="AD1194" s="36">
        <v>626.3963</v>
      </c>
    </row>
    <row r="1195" spans="1:30" s="37" customFormat="1" ht="15.75" customHeight="1" x14ac:dyDescent="0.2">
      <c r="A1195" s="26">
        <v>2098</v>
      </c>
      <c r="B1195" s="27" t="s">
        <v>2210</v>
      </c>
      <c r="C1195" s="27" t="s">
        <v>116</v>
      </c>
      <c r="D1195" s="28">
        <v>0.06</v>
      </c>
      <c r="E1195" s="29">
        <v>39.89</v>
      </c>
      <c r="F1195" s="29">
        <v>3.04</v>
      </c>
      <c r="G1195" s="30" t="s">
        <v>39</v>
      </c>
      <c r="H1195" s="27" t="s">
        <v>71</v>
      </c>
      <c r="I1195" s="27" t="s">
        <v>29</v>
      </c>
      <c r="J1195" s="27" t="s">
        <v>126</v>
      </c>
      <c r="K1195" s="27" t="s">
        <v>51</v>
      </c>
      <c r="L1195" s="31" t="s">
        <v>2211</v>
      </c>
      <c r="M1195" s="32">
        <v>0.53</v>
      </c>
      <c r="N1195" s="27" t="s">
        <v>33</v>
      </c>
      <c r="O1195" s="27" t="s">
        <v>34</v>
      </c>
      <c r="P1195" s="27" t="s">
        <v>271</v>
      </c>
      <c r="Q1195" s="27" t="s">
        <v>2212</v>
      </c>
      <c r="R1195" s="33">
        <v>29464</v>
      </c>
      <c r="S1195" s="34">
        <v>42112</v>
      </c>
      <c r="T1195" s="34">
        <v>42114</v>
      </c>
      <c r="U1195" s="29">
        <v>38.874000000000002</v>
      </c>
      <c r="V1195" s="26">
        <v>10</v>
      </c>
      <c r="W1195" s="29">
        <v>389.97</v>
      </c>
      <c r="X1195" s="26">
        <v>87889</v>
      </c>
      <c r="Y1195" s="35">
        <v>52.89</v>
      </c>
      <c r="Z1195" s="1" t="s">
        <v>3011</v>
      </c>
      <c r="AA1195" s="36">
        <v>23.933999999999997</v>
      </c>
      <c r="AB1195" s="54">
        <v>183.2859</v>
      </c>
      <c r="AC1195" s="54">
        <v>20.668410000000002</v>
      </c>
      <c r="AD1195" s="36">
        <v>324.12200000000001</v>
      </c>
    </row>
    <row r="1196" spans="1:30" s="37" customFormat="1" ht="15.75" customHeight="1" x14ac:dyDescent="0.2">
      <c r="A1196" s="26">
        <v>1827</v>
      </c>
      <c r="B1196" s="27" t="s">
        <v>1266</v>
      </c>
      <c r="C1196" s="27" t="s">
        <v>116</v>
      </c>
      <c r="D1196" s="28">
        <v>0.03</v>
      </c>
      <c r="E1196" s="29">
        <v>85.99</v>
      </c>
      <c r="F1196" s="29">
        <v>0.99</v>
      </c>
      <c r="G1196" s="30" t="s">
        <v>39</v>
      </c>
      <c r="H1196" s="27" t="s">
        <v>94</v>
      </c>
      <c r="I1196" s="27" t="s">
        <v>41</v>
      </c>
      <c r="J1196" s="27" t="s">
        <v>135</v>
      </c>
      <c r="K1196" s="27" t="s">
        <v>51</v>
      </c>
      <c r="L1196" s="31" t="s">
        <v>1176</v>
      </c>
      <c r="M1196" s="32">
        <v>0.55000000000000004</v>
      </c>
      <c r="N1196" s="27" t="s">
        <v>33</v>
      </c>
      <c r="O1196" s="27" t="s">
        <v>53</v>
      </c>
      <c r="P1196" s="27" t="s">
        <v>213</v>
      </c>
      <c r="Q1196" s="27" t="s">
        <v>928</v>
      </c>
      <c r="R1196" s="33">
        <v>52601</v>
      </c>
      <c r="S1196" s="34">
        <v>42112</v>
      </c>
      <c r="T1196" s="34">
        <v>42114</v>
      </c>
      <c r="U1196" s="29">
        <v>264.16649999999998</v>
      </c>
      <c r="V1196" s="26">
        <v>5</v>
      </c>
      <c r="W1196" s="29">
        <v>382.85</v>
      </c>
      <c r="X1196" s="26">
        <v>86958</v>
      </c>
      <c r="Y1196" s="35">
        <v>100.91000000000001</v>
      </c>
      <c r="Z1196" s="1" t="s">
        <v>3012</v>
      </c>
      <c r="AA1196" s="36">
        <v>12.898499999999999</v>
      </c>
      <c r="AB1196" s="54">
        <v>172.2825</v>
      </c>
      <c r="AC1196" s="54">
        <v>42.113500000000009</v>
      </c>
      <c r="AD1196" s="36">
        <v>104.79500000000002</v>
      </c>
    </row>
    <row r="1197" spans="1:30" s="37" customFormat="1" ht="15.75" customHeight="1" x14ac:dyDescent="0.2">
      <c r="A1197" s="26">
        <v>1826</v>
      </c>
      <c r="B1197" s="27" t="s">
        <v>2204</v>
      </c>
      <c r="C1197" s="27" t="s">
        <v>116</v>
      </c>
      <c r="D1197" s="28">
        <v>0.1</v>
      </c>
      <c r="E1197" s="29">
        <v>52.99</v>
      </c>
      <c r="F1197" s="29">
        <v>19.989999999999998</v>
      </c>
      <c r="G1197" s="30" t="s">
        <v>87</v>
      </c>
      <c r="H1197" s="27" t="s">
        <v>94</v>
      </c>
      <c r="I1197" s="27" t="s">
        <v>49</v>
      </c>
      <c r="J1197" s="27" t="s">
        <v>78</v>
      </c>
      <c r="K1197" s="27" t="s">
        <v>73</v>
      </c>
      <c r="L1197" s="31" t="s">
        <v>2205</v>
      </c>
      <c r="M1197" s="32">
        <v>0.81</v>
      </c>
      <c r="N1197" s="27" t="s">
        <v>33</v>
      </c>
      <c r="O1197" s="27" t="s">
        <v>53</v>
      </c>
      <c r="P1197" s="27" t="s">
        <v>213</v>
      </c>
      <c r="Q1197" s="27" t="s">
        <v>2206</v>
      </c>
      <c r="R1197" s="33">
        <v>52722</v>
      </c>
      <c r="S1197" s="34">
        <v>42112</v>
      </c>
      <c r="T1197" s="34">
        <v>42113</v>
      </c>
      <c r="U1197" s="29">
        <v>-517.16999999999996</v>
      </c>
      <c r="V1197" s="26">
        <v>7</v>
      </c>
      <c r="W1197" s="29">
        <v>337.59</v>
      </c>
      <c r="X1197" s="26">
        <v>86958</v>
      </c>
      <c r="Y1197" s="35">
        <v>85.96</v>
      </c>
      <c r="Z1197" s="1" t="s">
        <v>3012</v>
      </c>
      <c r="AA1197" s="36">
        <v>37.093000000000004</v>
      </c>
      <c r="AB1197" s="54">
        <v>64.142099999999971</v>
      </c>
      <c r="AC1197" s="54">
        <v>39.063985714285714</v>
      </c>
      <c r="AD1197" s="36">
        <v>797.67699999999991</v>
      </c>
    </row>
    <row r="1198" spans="1:30" s="37" customFormat="1" ht="15.75" customHeight="1" x14ac:dyDescent="0.2">
      <c r="A1198" s="26">
        <v>1827</v>
      </c>
      <c r="B1198" s="27" t="s">
        <v>1266</v>
      </c>
      <c r="C1198" s="27" t="s">
        <v>116</v>
      </c>
      <c r="D1198" s="28">
        <v>7.0000000000000007E-2</v>
      </c>
      <c r="E1198" s="29">
        <v>100.98</v>
      </c>
      <c r="F1198" s="29">
        <v>57.38</v>
      </c>
      <c r="G1198" s="30" t="s">
        <v>27</v>
      </c>
      <c r="H1198" s="27" t="s">
        <v>94</v>
      </c>
      <c r="I1198" s="27" t="s">
        <v>29</v>
      </c>
      <c r="J1198" s="27" t="s">
        <v>117</v>
      </c>
      <c r="K1198" s="27" t="s">
        <v>31</v>
      </c>
      <c r="L1198" s="31" t="s">
        <v>2207</v>
      </c>
      <c r="M1198" s="32">
        <v>0.78</v>
      </c>
      <c r="N1198" s="27" t="s">
        <v>33</v>
      </c>
      <c r="O1198" s="27" t="s">
        <v>53</v>
      </c>
      <c r="P1198" s="27" t="s">
        <v>213</v>
      </c>
      <c r="Q1198" s="27" t="s">
        <v>928</v>
      </c>
      <c r="R1198" s="33">
        <v>52601</v>
      </c>
      <c r="S1198" s="34">
        <v>42112</v>
      </c>
      <c r="T1198" s="34">
        <v>42115</v>
      </c>
      <c r="U1198" s="29">
        <v>-429.86</v>
      </c>
      <c r="V1198" s="26">
        <v>2</v>
      </c>
      <c r="W1198" s="29">
        <v>215.32</v>
      </c>
      <c r="X1198" s="26">
        <v>86958</v>
      </c>
      <c r="Y1198" s="35">
        <v>300.87</v>
      </c>
      <c r="Z1198" s="1" t="s">
        <v>3012</v>
      </c>
      <c r="AA1198" s="36">
        <v>14.137200000000002</v>
      </c>
      <c r="AB1198" s="54">
        <v>47.370399999999989</v>
      </c>
      <c r="AC1198" s="54">
        <v>83.974800000000002</v>
      </c>
      <c r="AD1198" s="36">
        <v>573.66280000000006</v>
      </c>
    </row>
    <row r="1199" spans="1:30" s="37" customFormat="1" ht="15.75" customHeight="1" x14ac:dyDescent="0.2">
      <c r="A1199" s="26">
        <v>1959</v>
      </c>
      <c r="B1199" s="27" t="s">
        <v>709</v>
      </c>
      <c r="C1199" s="27" t="s">
        <v>48</v>
      </c>
      <c r="D1199" s="28">
        <v>0.04</v>
      </c>
      <c r="E1199" s="29">
        <v>6.68</v>
      </c>
      <c r="F1199" s="29">
        <v>4.91</v>
      </c>
      <c r="G1199" s="30" t="s">
        <v>39</v>
      </c>
      <c r="H1199" s="27" t="s">
        <v>71</v>
      </c>
      <c r="I1199" s="27" t="s">
        <v>49</v>
      </c>
      <c r="J1199" s="27" t="s">
        <v>88</v>
      </c>
      <c r="K1199" s="27" t="s">
        <v>73</v>
      </c>
      <c r="L1199" s="31" t="s">
        <v>276</v>
      </c>
      <c r="M1199" s="32">
        <v>0.37</v>
      </c>
      <c r="N1199" s="27" t="s">
        <v>33</v>
      </c>
      <c r="O1199" s="27" t="s">
        <v>34</v>
      </c>
      <c r="P1199" s="27" t="s">
        <v>123</v>
      </c>
      <c r="Q1199" s="27" t="s">
        <v>128</v>
      </c>
      <c r="R1199" s="33">
        <v>33916</v>
      </c>
      <c r="S1199" s="34">
        <v>42112</v>
      </c>
      <c r="T1199" s="34">
        <v>42119</v>
      </c>
      <c r="U1199" s="29">
        <v>-14.3241</v>
      </c>
      <c r="V1199" s="26">
        <v>5</v>
      </c>
      <c r="W1199" s="29">
        <v>41.22</v>
      </c>
      <c r="X1199" s="26">
        <v>26342</v>
      </c>
      <c r="Y1199" s="35">
        <v>39.83</v>
      </c>
      <c r="Z1199" s="1" t="s">
        <v>3011</v>
      </c>
      <c r="AA1199" s="36">
        <v>1.3359999999999999</v>
      </c>
      <c r="AB1199" s="54">
        <v>25.968599999999999</v>
      </c>
      <c r="AC1199" s="54">
        <v>3.0502799999999999</v>
      </c>
      <c r="AD1199" s="36">
        <v>49.298099999999998</v>
      </c>
    </row>
    <row r="1200" spans="1:30" s="37" customFormat="1" ht="15.75" customHeight="1" x14ac:dyDescent="0.2">
      <c r="A1200" s="26">
        <v>1962</v>
      </c>
      <c r="B1200" s="27" t="s">
        <v>2202</v>
      </c>
      <c r="C1200" s="27" t="s">
        <v>48</v>
      </c>
      <c r="D1200" s="28">
        <v>0.04</v>
      </c>
      <c r="E1200" s="29">
        <v>6.68</v>
      </c>
      <c r="F1200" s="29">
        <v>4.91</v>
      </c>
      <c r="G1200" s="30" t="s">
        <v>39</v>
      </c>
      <c r="H1200" s="27" t="s">
        <v>71</v>
      </c>
      <c r="I1200" s="27" t="s">
        <v>49</v>
      </c>
      <c r="J1200" s="27" t="s">
        <v>88</v>
      </c>
      <c r="K1200" s="27" t="s">
        <v>73</v>
      </c>
      <c r="L1200" s="31" t="s">
        <v>276</v>
      </c>
      <c r="M1200" s="32">
        <v>0.37</v>
      </c>
      <c r="N1200" s="27" t="s">
        <v>33</v>
      </c>
      <c r="O1200" s="27" t="s">
        <v>53</v>
      </c>
      <c r="P1200" s="27" t="s">
        <v>289</v>
      </c>
      <c r="Q1200" s="27" t="s">
        <v>2203</v>
      </c>
      <c r="R1200" s="33">
        <v>48601</v>
      </c>
      <c r="S1200" s="34">
        <v>42112</v>
      </c>
      <c r="T1200" s="34">
        <v>42119</v>
      </c>
      <c r="U1200" s="29">
        <v>-11.631600000000001</v>
      </c>
      <c r="V1200" s="26">
        <v>1</v>
      </c>
      <c r="W1200" s="29">
        <v>8.24</v>
      </c>
      <c r="X1200" s="26">
        <v>88857</v>
      </c>
      <c r="Y1200" s="35">
        <v>89.899999999999991</v>
      </c>
      <c r="Z1200" s="1" t="s">
        <v>3012</v>
      </c>
      <c r="AA1200" s="36">
        <v>0.26719999999999999</v>
      </c>
      <c r="AB1200" s="54">
        <v>5.1912000000000003</v>
      </c>
      <c r="AC1200" s="54">
        <v>3.0488</v>
      </c>
      <c r="AD1200" s="36">
        <v>14.694400000000002</v>
      </c>
    </row>
    <row r="1201" spans="1:30" s="37" customFormat="1" ht="15.75" customHeight="1" x14ac:dyDescent="0.2">
      <c r="A1201" s="26">
        <v>3155</v>
      </c>
      <c r="B1201" s="27" t="s">
        <v>642</v>
      </c>
      <c r="C1201" s="27" t="s">
        <v>26</v>
      </c>
      <c r="D1201" s="28">
        <v>0.05</v>
      </c>
      <c r="E1201" s="29">
        <v>159.99</v>
      </c>
      <c r="F1201" s="29">
        <v>5.5</v>
      </c>
      <c r="G1201" s="30" t="s">
        <v>39</v>
      </c>
      <c r="H1201" s="27" t="s">
        <v>40</v>
      </c>
      <c r="I1201" s="27" t="s">
        <v>41</v>
      </c>
      <c r="J1201" s="27" t="s">
        <v>42</v>
      </c>
      <c r="K1201" s="27" t="s">
        <v>73</v>
      </c>
      <c r="L1201" s="31" t="s">
        <v>2213</v>
      </c>
      <c r="M1201" s="32">
        <v>0.49</v>
      </c>
      <c r="N1201" s="27" t="s">
        <v>33</v>
      </c>
      <c r="O1201" s="27" t="s">
        <v>34</v>
      </c>
      <c r="P1201" s="27" t="s">
        <v>123</v>
      </c>
      <c r="Q1201" s="27" t="s">
        <v>332</v>
      </c>
      <c r="R1201" s="33">
        <v>32771</v>
      </c>
      <c r="S1201" s="34">
        <v>42113</v>
      </c>
      <c r="T1201" s="34">
        <v>42115</v>
      </c>
      <c r="U1201" s="29">
        <v>12.263999999999999</v>
      </c>
      <c r="V1201" s="26">
        <v>23</v>
      </c>
      <c r="W1201" s="29">
        <v>3600.65</v>
      </c>
      <c r="X1201" s="26">
        <v>86902</v>
      </c>
      <c r="Y1201" s="35">
        <v>159.94</v>
      </c>
      <c r="Z1201" s="1" t="s">
        <v>3011</v>
      </c>
      <c r="AA1201" s="36">
        <v>183.98850000000002</v>
      </c>
      <c r="AB1201" s="54">
        <v>1836.3315</v>
      </c>
      <c r="AC1201" s="54">
        <v>76.709500000000006</v>
      </c>
      <c r="AD1201" s="36">
        <v>3398.8975</v>
      </c>
    </row>
    <row r="1202" spans="1:30" s="37" customFormat="1" ht="15.75" customHeight="1" x14ac:dyDescent="0.2">
      <c r="A1202" s="26">
        <v>1940</v>
      </c>
      <c r="B1202" s="27" t="s">
        <v>1795</v>
      </c>
      <c r="C1202" s="27" t="s">
        <v>48</v>
      </c>
      <c r="D1202" s="28">
        <v>0.08</v>
      </c>
      <c r="E1202" s="29">
        <v>122.99</v>
      </c>
      <c r="F1202" s="29">
        <v>70.2</v>
      </c>
      <c r="G1202" s="30" t="s">
        <v>27</v>
      </c>
      <c r="H1202" s="27" t="s">
        <v>94</v>
      </c>
      <c r="I1202" s="27" t="s">
        <v>29</v>
      </c>
      <c r="J1202" s="27" t="s">
        <v>109</v>
      </c>
      <c r="K1202" s="27" t="s">
        <v>58</v>
      </c>
      <c r="L1202" s="31" t="s">
        <v>804</v>
      </c>
      <c r="M1202" s="32">
        <v>0.74</v>
      </c>
      <c r="N1202" s="27" t="s">
        <v>33</v>
      </c>
      <c r="O1202" s="27" t="s">
        <v>60</v>
      </c>
      <c r="P1202" s="27" t="s">
        <v>146</v>
      </c>
      <c r="Q1202" s="27" t="s">
        <v>147</v>
      </c>
      <c r="R1202" s="33">
        <v>84020</v>
      </c>
      <c r="S1202" s="34">
        <v>42113</v>
      </c>
      <c r="T1202" s="34">
        <v>42118</v>
      </c>
      <c r="U1202" s="29">
        <v>-1867.97</v>
      </c>
      <c r="V1202" s="26">
        <v>10</v>
      </c>
      <c r="W1202" s="29">
        <v>1216.52</v>
      </c>
      <c r="X1202" s="26">
        <v>88871</v>
      </c>
      <c r="Y1202" s="35">
        <v>155.98000000000002</v>
      </c>
      <c r="Z1202" s="1" t="s">
        <v>3013</v>
      </c>
      <c r="AA1202" s="36">
        <v>98.391999999999996</v>
      </c>
      <c r="AB1202" s="54">
        <v>316.29520000000002</v>
      </c>
      <c r="AC1202" s="54">
        <v>90.022480000000002</v>
      </c>
      <c r="AD1202" s="36">
        <v>2915.8980000000001</v>
      </c>
    </row>
    <row r="1203" spans="1:30" s="37" customFormat="1" ht="15.75" customHeight="1" x14ac:dyDescent="0.2">
      <c r="A1203" s="26">
        <v>2212</v>
      </c>
      <c r="B1203" s="27" t="s">
        <v>2217</v>
      </c>
      <c r="C1203" s="27" t="s">
        <v>38</v>
      </c>
      <c r="D1203" s="28">
        <v>0.09</v>
      </c>
      <c r="E1203" s="29">
        <v>199.99</v>
      </c>
      <c r="F1203" s="29">
        <v>24.49</v>
      </c>
      <c r="G1203" s="30" t="s">
        <v>87</v>
      </c>
      <c r="H1203" s="27" t="s">
        <v>71</v>
      </c>
      <c r="I1203" s="27" t="s">
        <v>41</v>
      </c>
      <c r="J1203" s="27" t="s">
        <v>64</v>
      </c>
      <c r="K1203" s="27" t="s">
        <v>65</v>
      </c>
      <c r="L1203" s="31" t="s">
        <v>747</v>
      </c>
      <c r="M1203" s="32">
        <v>0.46</v>
      </c>
      <c r="N1203" s="27" t="s">
        <v>33</v>
      </c>
      <c r="O1203" s="27" t="s">
        <v>111</v>
      </c>
      <c r="P1203" s="27" t="s">
        <v>418</v>
      </c>
      <c r="Q1203" s="27" t="s">
        <v>2218</v>
      </c>
      <c r="R1203" s="33">
        <v>21228</v>
      </c>
      <c r="S1203" s="34">
        <v>42113</v>
      </c>
      <c r="T1203" s="34">
        <v>42115</v>
      </c>
      <c r="U1203" s="29">
        <v>631.33000000000004</v>
      </c>
      <c r="V1203" s="26">
        <v>5</v>
      </c>
      <c r="W1203" s="29">
        <v>990.25</v>
      </c>
      <c r="X1203" s="26">
        <v>88029</v>
      </c>
      <c r="Y1203" s="35">
        <v>5.9700000000000006</v>
      </c>
      <c r="Z1203" s="1" t="s">
        <v>3014</v>
      </c>
      <c r="AA1203" s="36">
        <v>89.995499999999993</v>
      </c>
      <c r="AB1203" s="54">
        <v>534.73500000000001</v>
      </c>
      <c r="AC1203" s="54">
        <v>91.103000000000009</v>
      </c>
      <c r="AD1203" s="36">
        <v>244.43449999999996</v>
      </c>
    </row>
    <row r="1204" spans="1:30" s="37" customFormat="1" ht="15.75" customHeight="1" x14ac:dyDescent="0.2">
      <c r="A1204" s="26">
        <v>1836</v>
      </c>
      <c r="B1204" s="27" t="s">
        <v>2214</v>
      </c>
      <c r="C1204" s="27" t="s">
        <v>38</v>
      </c>
      <c r="D1204" s="28">
        <v>0.01</v>
      </c>
      <c r="E1204" s="29">
        <v>155.99</v>
      </c>
      <c r="F1204" s="29">
        <v>8.99</v>
      </c>
      <c r="G1204" s="30" t="s">
        <v>87</v>
      </c>
      <c r="H1204" s="27" t="s">
        <v>94</v>
      </c>
      <c r="I1204" s="27" t="s">
        <v>41</v>
      </c>
      <c r="J1204" s="27" t="s">
        <v>135</v>
      </c>
      <c r="K1204" s="27" t="s">
        <v>73</v>
      </c>
      <c r="L1204" s="31" t="s">
        <v>1297</v>
      </c>
      <c r="M1204" s="32">
        <v>0.57999999999999996</v>
      </c>
      <c r="N1204" s="27" t="s">
        <v>33</v>
      </c>
      <c r="O1204" s="27" t="s">
        <v>60</v>
      </c>
      <c r="P1204" s="27" t="s">
        <v>90</v>
      </c>
      <c r="Q1204" s="27" t="s">
        <v>941</v>
      </c>
      <c r="R1204" s="33">
        <v>94110</v>
      </c>
      <c r="S1204" s="34">
        <v>42113</v>
      </c>
      <c r="T1204" s="34">
        <v>42114</v>
      </c>
      <c r="U1204" s="29">
        <v>-219.07908</v>
      </c>
      <c r="V1204" s="26">
        <v>5</v>
      </c>
      <c r="W1204" s="29">
        <v>675.83</v>
      </c>
      <c r="X1204" s="26">
        <v>86600</v>
      </c>
      <c r="Y1204" s="35">
        <v>199.9</v>
      </c>
      <c r="Z1204" s="1" t="s">
        <v>3013</v>
      </c>
      <c r="AA1204" s="36">
        <v>7.7995000000000001</v>
      </c>
      <c r="AB1204" s="54">
        <v>283.84860000000003</v>
      </c>
      <c r="AC1204" s="54">
        <v>78.39627999999999</v>
      </c>
      <c r="AD1204" s="36">
        <v>878.11958000000004</v>
      </c>
    </row>
    <row r="1205" spans="1:30" s="37" customFormat="1" ht="15.75" customHeight="1" x14ac:dyDescent="0.2">
      <c r="A1205" s="26">
        <v>152</v>
      </c>
      <c r="B1205" s="27" t="s">
        <v>505</v>
      </c>
      <c r="C1205" s="27" t="s">
        <v>48</v>
      </c>
      <c r="D1205" s="28">
        <v>0.01</v>
      </c>
      <c r="E1205" s="29">
        <v>79.52</v>
      </c>
      <c r="F1205" s="29">
        <v>48.2</v>
      </c>
      <c r="G1205" s="30" t="s">
        <v>39</v>
      </c>
      <c r="H1205" s="27" t="s">
        <v>71</v>
      </c>
      <c r="I1205" s="27" t="s">
        <v>29</v>
      </c>
      <c r="J1205" s="27" t="s">
        <v>126</v>
      </c>
      <c r="K1205" s="27" t="s">
        <v>144</v>
      </c>
      <c r="L1205" s="31" t="s">
        <v>2219</v>
      </c>
      <c r="M1205" s="32">
        <v>0.74</v>
      </c>
      <c r="N1205" s="27" t="s">
        <v>33</v>
      </c>
      <c r="O1205" s="27" t="s">
        <v>34</v>
      </c>
      <c r="P1205" s="27" t="s">
        <v>400</v>
      </c>
      <c r="Q1205" s="27" t="s">
        <v>507</v>
      </c>
      <c r="R1205" s="33">
        <v>37918</v>
      </c>
      <c r="S1205" s="34">
        <v>42113</v>
      </c>
      <c r="T1205" s="34">
        <v>42120</v>
      </c>
      <c r="U1205" s="29">
        <v>-40.683999999999997</v>
      </c>
      <c r="V1205" s="26">
        <v>8</v>
      </c>
      <c r="W1205" s="29">
        <v>667.84</v>
      </c>
      <c r="X1205" s="26">
        <v>89522</v>
      </c>
      <c r="Y1205" s="35">
        <v>79.509999999999991</v>
      </c>
      <c r="Z1205" s="1" t="s">
        <v>3011</v>
      </c>
      <c r="AA1205" s="36">
        <v>6.3616000000000001</v>
      </c>
      <c r="AB1205" s="54">
        <v>173.63840000000002</v>
      </c>
      <c r="AC1205" s="54">
        <v>61.775200000000005</v>
      </c>
      <c r="AD1205" s="36">
        <v>653.9624</v>
      </c>
    </row>
    <row r="1206" spans="1:30" s="37" customFormat="1" ht="15.75" customHeight="1" x14ac:dyDescent="0.2">
      <c r="A1206" s="26">
        <v>1940</v>
      </c>
      <c r="B1206" s="27" t="s">
        <v>1795</v>
      </c>
      <c r="C1206" s="27" t="s">
        <v>48</v>
      </c>
      <c r="D1206" s="28">
        <v>0</v>
      </c>
      <c r="E1206" s="29">
        <v>78.650000000000006</v>
      </c>
      <c r="F1206" s="29">
        <v>13.99</v>
      </c>
      <c r="G1206" s="30" t="s">
        <v>39</v>
      </c>
      <c r="H1206" s="27" t="s">
        <v>94</v>
      </c>
      <c r="I1206" s="27" t="s">
        <v>49</v>
      </c>
      <c r="J1206" s="27" t="s">
        <v>95</v>
      </c>
      <c r="K1206" s="27" t="s">
        <v>144</v>
      </c>
      <c r="L1206" s="31" t="s">
        <v>1714</v>
      </c>
      <c r="M1206" s="32">
        <v>0.52</v>
      </c>
      <c r="N1206" s="27" t="s">
        <v>33</v>
      </c>
      <c r="O1206" s="27" t="s">
        <v>60</v>
      </c>
      <c r="P1206" s="27" t="s">
        <v>146</v>
      </c>
      <c r="Q1206" s="27" t="s">
        <v>147</v>
      </c>
      <c r="R1206" s="33">
        <v>84020</v>
      </c>
      <c r="S1206" s="34">
        <v>42113</v>
      </c>
      <c r="T1206" s="34">
        <v>42120</v>
      </c>
      <c r="U1206" s="29">
        <v>386.00670000000002</v>
      </c>
      <c r="V1206" s="26">
        <v>7</v>
      </c>
      <c r="W1206" s="29">
        <v>559.42999999999995</v>
      </c>
      <c r="X1206" s="26">
        <v>88871</v>
      </c>
      <c r="Y1206" s="35">
        <v>3.52</v>
      </c>
      <c r="Z1206" s="1" t="s">
        <v>3013</v>
      </c>
      <c r="AA1206" s="36">
        <v>0</v>
      </c>
      <c r="AB1206" s="54">
        <v>268.52639999999997</v>
      </c>
      <c r="AC1206" s="54">
        <v>41.557657142857146</v>
      </c>
      <c r="AD1206" s="36">
        <v>159.43329999999992</v>
      </c>
    </row>
    <row r="1207" spans="1:30" s="37" customFormat="1" ht="15.75" customHeight="1" x14ac:dyDescent="0.2">
      <c r="A1207" s="26">
        <v>1933</v>
      </c>
      <c r="B1207" s="27" t="s">
        <v>2220</v>
      </c>
      <c r="C1207" s="27" t="s">
        <v>48</v>
      </c>
      <c r="D1207" s="28">
        <v>0.06</v>
      </c>
      <c r="E1207" s="29">
        <v>3.58</v>
      </c>
      <c r="F1207" s="29">
        <v>1.63</v>
      </c>
      <c r="G1207" s="30" t="s">
        <v>39</v>
      </c>
      <c r="H1207" s="27" t="s">
        <v>94</v>
      </c>
      <c r="I1207" s="27" t="s">
        <v>49</v>
      </c>
      <c r="J1207" s="27" t="s">
        <v>176</v>
      </c>
      <c r="K1207" s="27" t="s">
        <v>51</v>
      </c>
      <c r="L1207" s="31" t="s">
        <v>2221</v>
      </c>
      <c r="M1207" s="32">
        <v>0.36</v>
      </c>
      <c r="N1207" s="27" t="s">
        <v>33</v>
      </c>
      <c r="O1207" s="27" t="s">
        <v>53</v>
      </c>
      <c r="P1207" s="27" t="s">
        <v>187</v>
      </c>
      <c r="Q1207" s="27" t="s">
        <v>2222</v>
      </c>
      <c r="R1207" s="33">
        <v>75043</v>
      </c>
      <c r="S1207" s="34">
        <v>42113</v>
      </c>
      <c r="T1207" s="34">
        <v>42117</v>
      </c>
      <c r="U1207" s="29">
        <v>14</v>
      </c>
      <c r="V1207" s="26">
        <v>10</v>
      </c>
      <c r="W1207" s="29">
        <v>34.76</v>
      </c>
      <c r="X1207" s="26">
        <v>86687</v>
      </c>
      <c r="Y1207" s="35">
        <v>78.650000000000006</v>
      </c>
      <c r="Z1207" s="1" t="s">
        <v>3012</v>
      </c>
      <c r="AA1207" s="36">
        <v>2.1479999999999997</v>
      </c>
      <c r="AB1207" s="54">
        <v>22.246399999999998</v>
      </c>
      <c r="AC1207" s="54">
        <v>1.25136</v>
      </c>
      <c r="AD1207" s="36">
        <v>16.981999999999999</v>
      </c>
    </row>
    <row r="1208" spans="1:30" s="37" customFormat="1" ht="15.75" customHeight="1" x14ac:dyDescent="0.2">
      <c r="A1208" s="26">
        <v>2066</v>
      </c>
      <c r="B1208" s="27" t="s">
        <v>1872</v>
      </c>
      <c r="C1208" s="27" t="s">
        <v>48</v>
      </c>
      <c r="D1208" s="28">
        <v>0.1</v>
      </c>
      <c r="E1208" s="29">
        <v>4.24</v>
      </c>
      <c r="F1208" s="29">
        <v>5.41</v>
      </c>
      <c r="G1208" s="30" t="s">
        <v>39</v>
      </c>
      <c r="H1208" s="27" t="s">
        <v>94</v>
      </c>
      <c r="I1208" s="27" t="s">
        <v>49</v>
      </c>
      <c r="J1208" s="27" t="s">
        <v>72</v>
      </c>
      <c r="K1208" s="27" t="s">
        <v>73</v>
      </c>
      <c r="L1208" s="31" t="s">
        <v>1671</v>
      </c>
      <c r="M1208" s="32">
        <v>0.35</v>
      </c>
      <c r="N1208" s="27" t="s">
        <v>33</v>
      </c>
      <c r="O1208" s="27" t="s">
        <v>34</v>
      </c>
      <c r="P1208" s="27" t="s">
        <v>97</v>
      </c>
      <c r="Q1208" s="27" t="s">
        <v>1874</v>
      </c>
      <c r="R1208" s="33">
        <v>28079</v>
      </c>
      <c r="S1208" s="34">
        <v>42113</v>
      </c>
      <c r="T1208" s="34">
        <v>42117</v>
      </c>
      <c r="U1208" s="29">
        <v>-61.6</v>
      </c>
      <c r="V1208" s="26">
        <v>8</v>
      </c>
      <c r="W1208" s="29">
        <v>34.159999999999997</v>
      </c>
      <c r="X1208" s="26">
        <v>85835</v>
      </c>
      <c r="Y1208" s="35">
        <v>122.91</v>
      </c>
      <c r="Z1208" s="1" t="s">
        <v>3011</v>
      </c>
      <c r="AA1208" s="36">
        <v>3.3920000000000003</v>
      </c>
      <c r="AB1208" s="54">
        <v>22.203999999999997</v>
      </c>
      <c r="AC1208" s="54">
        <v>1.4944999999999997</v>
      </c>
      <c r="AD1208" s="36">
        <v>86.957999999999998</v>
      </c>
    </row>
    <row r="1209" spans="1:30" s="37" customFormat="1" ht="15.75" customHeight="1" x14ac:dyDescent="0.2">
      <c r="A1209" s="26">
        <v>1837</v>
      </c>
      <c r="B1209" s="27" t="s">
        <v>2215</v>
      </c>
      <c r="C1209" s="27" t="s">
        <v>38</v>
      </c>
      <c r="D1209" s="28">
        <v>0.01</v>
      </c>
      <c r="E1209" s="29">
        <v>5.98</v>
      </c>
      <c r="F1209" s="29">
        <v>5.46</v>
      </c>
      <c r="G1209" s="30" t="s">
        <v>39</v>
      </c>
      <c r="H1209" s="27" t="s">
        <v>94</v>
      </c>
      <c r="I1209" s="27" t="s">
        <v>49</v>
      </c>
      <c r="J1209" s="27" t="s">
        <v>88</v>
      </c>
      <c r="K1209" s="27" t="s">
        <v>73</v>
      </c>
      <c r="L1209" s="31" t="s">
        <v>1156</v>
      </c>
      <c r="M1209" s="32">
        <v>0.36</v>
      </c>
      <c r="N1209" s="27" t="s">
        <v>33</v>
      </c>
      <c r="O1209" s="27" t="s">
        <v>60</v>
      </c>
      <c r="P1209" s="27" t="s">
        <v>90</v>
      </c>
      <c r="Q1209" s="27" t="s">
        <v>2216</v>
      </c>
      <c r="R1209" s="33">
        <v>91776</v>
      </c>
      <c r="S1209" s="34">
        <v>42113</v>
      </c>
      <c r="T1209" s="34">
        <v>42115</v>
      </c>
      <c r="U1209" s="29">
        <v>-18.878399999999999</v>
      </c>
      <c r="V1209" s="26">
        <v>4</v>
      </c>
      <c r="W1209" s="29">
        <v>28</v>
      </c>
      <c r="X1209" s="26">
        <v>86600</v>
      </c>
      <c r="Y1209" s="35">
        <v>4.1400000000000006</v>
      </c>
      <c r="Z1209" s="1" t="s">
        <v>3013</v>
      </c>
      <c r="AA1209" s="36">
        <v>0.23920000000000002</v>
      </c>
      <c r="AB1209" s="54">
        <v>17.920000000000002</v>
      </c>
      <c r="AC1209" s="54">
        <v>2.52</v>
      </c>
      <c r="AD1209" s="36">
        <v>41.179199999999994</v>
      </c>
    </row>
    <row r="1210" spans="1:30" s="37" customFormat="1" ht="15.75" customHeight="1" x14ac:dyDescent="0.2">
      <c r="A1210" s="26">
        <v>2547</v>
      </c>
      <c r="B1210" s="27" t="s">
        <v>2223</v>
      </c>
      <c r="C1210" s="27" t="s">
        <v>48</v>
      </c>
      <c r="D1210" s="28">
        <v>7.0000000000000007E-2</v>
      </c>
      <c r="E1210" s="29">
        <v>6.48</v>
      </c>
      <c r="F1210" s="29">
        <v>9.5399999999999991</v>
      </c>
      <c r="G1210" s="30" t="s">
        <v>39</v>
      </c>
      <c r="H1210" s="27" t="s">
        <v>3095</v>
      </c>
      <c r="I1210" s="27" t="s">
        <v>49</v>
      </c>
      <c r="J1210" s="27" t="s">
        <v>88</v>
      </c>
      <c r="K1210" s="27" t="s">
        <v>73</v>
      </c>
      <c r="L1210" s="31" t="s">
        <v>2224</v>
      </c>
      <c r="M1210" s="32">
        <v>0.37</v>
      </c>
      <c r="N1210" s="27" t="s">
        <v>33</v>
      </c>
      <c r="O1210" s="27" t="s">
        <v>34</v>
      </c>
      <c r="P1210" s="27" t="s">
        <v>242</v>
      </c>
      <c r="Q1210" s="27" t="s">
        <v>2225</v>
      </c>
      <c r="R1210" s="33">
        <v>23464</v>
      </c>
      <c r="S1210" s="34">
        <v>42113</v>
      </c>
      <c r="T1210" s="34">
        <v>42113</v>
      </c>
      <c r="U1210" s="29">
        <v>2.2320000000000002</v>
      </c>
      <c r="V1210" s="26">
        <v>1</v>
      </c>
      <c r="W1210" s="29">
        <v>10.86</v>
      </c>
      <c r="X1210" s="26">
        <v>87916</v>
      </c>
      <c r="Y1210" s="35">
        <v>6.41</v>
      </c>
      <c r="Z1210" s="1" t="s">
        <v>3011</v>
      </c>
      <c r="AA1210" s="36">
        <v>0.45360000000000006</v>
      </c>
      <c r="AB1210" s="54">
        <v>6.8418000000000001</v>
      </c>
      <c r="AC1210" s="54">
        <v>4.0181999999999993</v>
      </c>
      <c r="AD1210" s="36">
        <v>-1.3655999999999988</v>
      </c>
    </row>
    <row r="1211" spans="1:30" s="37" customFormat="1" ht="15.75" customHeight="1" x14ac:dyDescent="0.2">
      <c r="A1211" s="26">
        <v>2117</v>
      </c>
      <c r="B1211" s="27" t="s">
        <v>2231</v>
      </c>
      <c r="C1211" s="27" t="s">
        <v>38</v>
      </c>
      <c r="D1211" s="28">
        <v>0.03</v>
      </c>
      <c r="E1211" s="29">
        <v>320.98</v>
      </c>
      <c r="F1211" s="29">
        <v>24.49</v>
      </c>
      <c r="G1211" s="30" t="s">
        <v>39</v>
      </c>
      <c r="H1211" s="27" t="s">
        <v>71</v>
      </c>
      <c r="I1211" s="27" t="s">
        <v>29</v>
      </c>
      <c r="J1211" s="27" t="s">
        <v>109</v>
      </c>
      <c r="K1211" s="27" t="s">
        <v>65</v>
      </c>
      <c r="L1211" s="31" t="s">
        <v>2232</v>
      </c>
      <c r="M1211" s="32">
        <v>0.55000000000000004</v>
      </c>
      <c r="N1211" s="27" t="s">
        <v>33</v>
      </c>
      <c r="O1211" s="27" t="s">
        <v>53</v>
      </c>
      <c r="P1211" s="27" t="s">
        <v>187</v>
      </c>
      <c r="Q1211" s="27" t="s">
        <v>1027</v>
      </c>
      <c r="R1211" s="33">
        <v>75401</v>
      </c>
      <c r="S1211" s="34">
        <v>42114</v>
      </c>
      <c r="T1211" s="34">
        <v>42116</v>
      </c>
      <c r="U1211" s="29">
        <v>4554.4346999999998</v>
      </c>
      <c r="V1211" s="26">
        <v>20</v>
      </c>
      <c r="W1211" s="29">
        <v>6600.63</v>
      </c>
      <c r="X1211" s="26">
        <v>90891</v>
      </c>
      <c r="Y1211" s="35">
        <v>315.95000000000005</v>
      </c>
      <c r="Z1211" s="1" t="s">
        <v>3012</v>
      </c>
      <c r="AA1211" s="36">
        <v>192.58800000000002</v>
      </c>
      <c r="AB1211" s="54">
        <v>2970.2834999999995</v>
      </c>
      <c r="AC1211" s="54">
        <v>181.517325</v>
      </c>
      <c r="AD1211" s="36">
        <v>1829.1173000000008</v>
      </c>
    </row>
    <row r="1212" spans="1:30" s="37" customFormat="1" ht="15.75" customHeight="1" x14ac:dyDescent="0.2">
      <c r="A1212" s="26">
        <v>3380</v>
      </c>
      <c r="B1212" s="27" t="s">
        <v>2226</v>
      </c>
      <c r="C1212" s="27" t="s">
        <v>26</v>
      </c>
      <c r="D1212" s="28">
        <v>0.03</v>
      </c>
      <c r="E1212" s="29">
        <v>315.98</v>
      </c>
      <c r="F1212" s="29">
        <v>19.989999999999998</v>
      </c>
      <c r="G1212" s="30" t="s">
        <v>39</v>
      </c>
      <c r="H1212" s="27" t="s">
        <v>71</v>
      </c>
      <c r="I1212" s="27" t="s">
        <v>49</v>
      </c>
      <c r="J1212" s="27" t="s">
        <v>72</v>
      </c>
      <c r="K1212" s="27" t="s">
        <v>73</v>
      </c>
      <c r="L1212" s="31" t="s">
        <v>2227</v>
      </c>
      <c r="M1212" s="32">
        <v>0.38</v>
      </c>
      <c r="N1212" s="27" t="s">
        <v>33</v>
      </c>
      <c r="O1212" s="27" t="s">
        <v>34</v>
      </c>
      <c r="P1212" s="27" t="s">
        <v>75</v>
      </c>
      <c r="Q1212" s="27" t="s">
        <v>2228</v>
      </c>
      <c r="R1212" s="33">
        <v>30240</v>
      </c>
      <c r="S1212" s="34">
        <v>42114</v>
      </c>
      <c r="T1212" s="34">
        <v>42116</v>
      </c>
      <c r="U1212" s="29">
        <v>-4.4800000000000004</v>
      </c>
      <c r="V1212" s="26">
        <v>18</v>
      </c>
      <c r="W1212" s="29">
        <v>5572.18</v>
      </c>
      <c r="X1212" s="26">
        <v>88838</v>
      </c>
      <c r="Y1212" s="35">
        <v>63.91</v>
      </c>
      <c r="Z1212" s="1" t="s">
        <v>3011</v>
      </c>
      <c r="AA1212" s="36">
        <v>170.6292</v>
      </c>
      <c r="AB1212" s="54">
        <v>3454.7516000000001</v>
      </c>
      <c r="AC1212" s="54">
        <v>117.63491111111112</v>
      </c>
      <c r="AD1212" s="36">
        <v>5386.0408000000007</v>
      </c>
    </row>
    <row r="1213" spans="1:30" s="37" customFormat="1" ht="15.75" customHeight="1" x14ac:dyDescent="0.2">
      <c r="A1213" s="26">
        <v>241</v>
      </c>
      <c r="B1213" s="27" t="s">
        <v>2240</v>
      </c>
      <c r="C1213" s="27" t="s">
        <v>116</v>
      </c>
      <c r="D1213" s="28">
        <v>0.06</v>
      </c>
      <c r="E1213" s="29">
        <v>259.70999999999998</v>
      </c>
      <c r="F1213" s="29">
        <v>66.67</v>
      </c>
      <c r="G1213" s="30" t="s">
        <v>27</v>
      </c>
      <c r="H1213" s="27" t="s">
        <v>3095</v>
      </c>
      <c r="I1213" s="27" t="s">
        <v>29</v>
      </c>
      <c r="J1213" s="27" t="s">
        <v>30</v>
      </c>
      <c r="K1213" s="27" t="s">
        <v>31</v>
      </c>
      <c r="L1213" s="31" t="s">
        <v>1026</v>
      </c>
      <c r="M1213" s="32">
        <v>0.61</v>
      </c>
      <c r="N1213" s="27" t="s">
        <v>33</v>
      </c>
      <c r="O1213" s="27" t="s">
        <v>60</v>
      </c>
      <c r="P1213" s="27" t="s">
        <v>61</v>
      </c>
      <c r="Q1213" s="27" t="s">
        <v>2241</v>
      </c>
      <c r="R1213" s="33">
        <v>81503</v>
      </c>
      <c r="S1213" s="34">
        <v>42114</v>
      </c>
      <c r="T1213" s="34">
        <v>42115</v>
      </c>
      <c r="U1213" s="29">
        <v>785.63</v>
      </c>
      <c r="V1213" s="26">
        <v>11</v>
      </c>
      <c r="W1213" s="29">
        <v>2809.87</v>
      </c>
      <c r="X1213" s="26">
        <v>90479</v>
      </c>
      <c r="Y1213" s="35">
        <v>5.8900000000000006</v>
      </c>
      <c r="Z1213" s="1" t="s">
        <v>3013</v>
      </c>
      <c r="AA1213" s="36">
        <v>171.40859999999998</v>
      </c>
      <c r="AB1213" s="54">
        <v>1095.8493000000001</v>
      </c>
      <c r="AC1213" s="54">
        <v>155.82006363636364</v>
      </c>
      <c r="AD1213" s="36">
        <v>1786.1614</v>
      </c>
    </row>
    <row r="1214" spans="1:30" s="37" customFormat="1" ht="15.75" customHeight="1" x14ac:dyDescent="0.2">
      <c r="A1214" s="26">
        <v>2117</v>
      </c>
      <c r="B1214" s="27" t="s">
        <v>2231</v>
      </c>
      <c r="C1214" s="27" t="s">
        <v>38</v>
      </c>
      <c r="D1214" s="28">
        <v>0.06</v>
      </c>
      <c r="E1214" s="29">
        <v>125.99</v>
      </c>
      <c r="F1214" s="29">
        <v>8.8000000000000007</v>
      </c>
      <c r="G1214" s="30" t="s">
        <v>39</v>
      </c>
      <c r="H1214" s="27" t="s">
        <v>71</v>
      </c>
      <c r="I1214" s="27" t="s">
        <v>41</v>
      </c>
      <c r="J1214" s="27" t="s">
        <v>135</v>
      </c>
      <c r="K1214" s="27" t="s">
        <v>73</v>
      </c>
      <c r="L1214" s="31" t="s">
        <v>2233</v>
      </c>
      <c r="M1214" s="32">
        <v>0.59</v>
      </c>
      <c r="N1214" s="27" t="s">
        <v>33</v>
      </c>
      <c r="O1214" s="27" t="s">
        <v>53</v>
      </c>
      <c r="P1214" s="27" t="s">
        <v>187</v>
      </c>
      <c r="Q1214" s="27" t="s">
        <v>1027</v>
      </c>
      <c r="R1214" s="33">
        <v>75401</v>
      </c>
      <c r="S1214" s="34">
        <v>42114</v>
      </c>
      <c r="T1214" s="34">
        <v>42115</v>
      </c>
      <c r="U1214" s="29">
        <v>618.19308000000001</v>
      </c>
      <c r="V1214" s="26">
        <v>18</v>
      </c>
      <c r="W1214" s="29">
        <v>1811.99</v>
      </c>
      <c r="X1214" s="26">
        <v>90891</v>
      </c>
      <c r="Y1214" s="35">
        <v>3.66</v>
      </c>
      <c r="Z1214" s="1" t="s">
        <v>3012</v>
      </c>
      <c r="AA1214" s="36">
        <v>136.0692</v>
      </c>
      <c r="AB1214" s="54">
        <v>742.91590000000008</v>
      </c>
      <c r="AC1214" s="54">
        <v>59.393005555555547</v>
      </c>
      <c r="AD1214" s="36">
        <v>1048.9277200000001</v>
      </c>
    </row>
    <row r="1215" spans="1:30" s="37" customFormat="1" ht="15.75" customHeight="1" x14ac:dyDescent="0.2">
      <c r="A1215" s="26">
        <v>970</v>
      </c>
      <c r="B1215" s="27" t="s">
        <v>2242</v>
      </c>
      <c r="C1215" s="27" t="s">
        <v>116</v>
      </c>
      <c r="D1215" s="28">
        <v>0</v>
      </c>
      <c r="E1215" s="29">
        <v>170.98</v>
      </c>
      <c r="F1215" s="29">
        <v>35.89</v>
      </c>
      <c r="G1215" s="30" t="s">
        <v>27</v>
      </c>
      <c r="H1215" s="27" t="s">
        <v>40</v>
      </c>
      <c r="I1215" s="27" t="s">
        <v>29</v>
      </c>
      <c r="J1215" s="27" t="s">
        <v>117</v>
      </c>
      <c r="K1215" s="27" t="s">
        <v>31</v>
      </c>
      <c r="L1215" s="31" t="s">
        <v>1469</v>
      </c>
      <c r="M1215" s="32">
        <v>0.66</v>
      </c>
      <c r="N1215" s="27" t="s">
        <v>33</v>
      </c>
      <c r="O1215" s="27" t="s">
        <v>34</v>
      </c>
      <c r="P1215" s="27" t="s">
        <v>242</v>
      </c>
      <c r="Q1215" s="27" t="s">
        <v>2243</v>
      </c>
      <c r="R1215" s="33">
        <v>24281</v>
      </c>
      <c r="S1215" s="34">
        <v>42114</v>
      </c>
      <c r="T1215" s="34">
        <v>42115</v>
      </c>
      <c r="U1215" s="29">
        <v>-102.66200000000001</v>
      </c>
      <c r="V1215" s="26">
        <v>8</v>
      </c>
      <c r="W1215" s="29">
        <v>1452.18</v>
      </c>
      <c r="X1215" s="26">
        <v>86173</v>
      </c>
      <c r="Y1215" s="35">
        <v>320.95000000000005</v>
      </c>
      <c r="Z1215" s="1" t="s">
        <v>3011</v>
      </c>
      <c r="AA1215" s="36">
        <v>0</v>
      </c>
      <c r="AB1215" s="54">
        <v>493.74119999999999</v>
      </c>
      <c r="AC1215" s="54">
        <v>119.80485000000002</v>
      </c>
      <c r="AD1215" s="36">
        <v>1518.952</v>
      </c>
    </row>
    <row r="1216" spans="1:30" s="37" customFormat="1" ht="15.75" customHeight="1" x14ac:dyDescent="0.2">
      <c r="A1216" s="26">
        <v>3084</v>
      </c>
      <c r="B1216" s="27" t="s">
        <v>2234</v>
      </c>
      <c r="C1216" s="27" t="s">
        <v>38</v>
      </c>
      <c r="D1216" s="28">
        <v>0</v>
      </c>
      <c r="E1216" s="29">
        <v>65.989999999999995</v>
      </c>
      <c r="F1216" s="29">
        <v>5.99</v>
      </c>
      <c r="G1216" s="30" t="s">
        <v>87</v>
      </c>
      <c r="H1216" s="27" t="s">
        <v>3095</v>
      </c>
      <c r="I1216" s="27" t="s">
        <v>41</v>
      </c>
      <c r="J1216" s="27" t="s">
        <v>135</v>
      </c>
      <c r="K1216" s="27" t="s">
        <v>73</v>
      </c>
      <c r="L1216" s="31" t="s">
        <v>298</v>
      </c>
      <c r="M1216" s="32">
        <v>0.57999999999999996</v>
      </c>
      <c r="N1216" s="27" t="s">
        <v>33</v>
      </c>
      <c r="O1216" s="27" t="s">
        <v>60</v>
      </c>
      <c r="P1216" s="27" t="s">
        <v>67</v>
      </c>
      <c r="Q1216" s="27" t="s">
        <v>487</v>
      </c>
      <c r="R1216" s="33">
        <v>98503</v>
      </c>
      <c r="S1216" s="34">
        <v>42114</v>
      </c>
      <c r="T1216" s="34">
        <v>42116</v>
      </c>
      <c r="U1216" s="29">
        <v>313.81200000000001</v>
      </c>
      <c r="V1216" s="26">
        <v>14</v>
      </c>
      <c r="W1216" s="29">
        <v>798.89</v>
      </c>
      <c r="X1216" s="26">
        <v>89879</v>
      </c>
      <c r="Y1216" s="35">
        <v>125.92999999999999</v>
      </c>
      <c r="Z1216" s="1" t="s">
        <v>3013</v>
      </c>
      <c r="AA1216" s="36">
        <v>0</v>
      </c>
      <c r="AB1216" s="54">
        <v>335.53380000000004</v>
      </c>
      <c r="AC1216" s="54">
        <v>33.096871428571426</v>
      </c>
      <c r="AD1216" s="36">
        <v>479.08799999999997</v>
      </c>
    </row>
    <row r="1217" spans="1:30" s="37" customFormat="1" ht="15.75" customHeight="1" x14ac:dyDescent="0.2">
      <c r="A1217" s="26">
        <v>3380</v>
      </c>
      <c r="B1217" s="27" t="s">
        <v>2226</v>
      </c>
      <c r="C1217" s="27" t="s">
        <v>26</v>
      </c>
      <c r="D1217" s="28">
        <v>0.03</v>
      </c>
      <c r="E1217" s="29">
        <v>63.94</v>
      </c>
      <c r="F1217" s="29">
        <v>14.48</v>
      </c>
      <c r="G1217" s="30" t="s">
        <v>39</v>
      </c>
      <c r="H1217" s="27" t="s">
        <v>71</v>
      </c>
      <c r="I1217" s="27" t="s">
        <v>29</v>
      </c>
      <c r="J1217" s="27" t="s">
        <v>126</v>
      </c>
      <c r="K1217" s="27" t="s">
        <v>73</v>
      </c>
      <c r="L1217" s="31" t="s">
        <v>1994</v>
      </c>
      <c r="M1217" s="32">
        <v>0.46</v>
      </c>
      <c r="N1217" s="27" t="s">
        <v>33</v>
      </c>
      <c r="O1217" s="27" t="s">
        <v>34</v>
      </c>
      <c r="P1217" s="27" t="s">
        <v>75</v>
      </c>
      <c r="Q1217" s="27" t="s">
        <v>2228</v>
      </c>
      <c r="R1217" s="33">
        <v>30240</v>
      </c>
      <c r="S1217" s="34">
        <v>42114</v>
      </c>
      <c r="T1217" s="34">
        <v>42115</v>
      </c>
      <c r="U1217" s="29">
        <v>43.691699999999997</v>
      </c>
      <c r="V1217" s="26">
        <v>8</v>
      </c>
      <c r="W1217" s="29">
        <v>522.46</v>
      </c>
      <c r="X1217" s="26">
        <v>88838</v>
      </c>
      <c r="Y1217" s="35">
        <v>65.989999999999995</v>
      </c>
      <c r="Z1217" s="1" t="s">
        <v>3011</v>
      </c>
      <c r="AA1217" s="36">
        <v>15.345599999999999</v>
      </c>
      <c r="AB1217" s="54">
        <v>282.12840000000006</v>
      </c>
      <c r="AC1217" s="54">
        <v>30.041450000000005</v>
      </c>
      <c r="AD1217" s="36">
        <v>448.94270000000006</v>
      </c>
    </row>
    <row r="1218" spans="1:30" s="37" customFormat="1" ht="15.75" customHeight="1" x14ac:dyDescent="0.2">
      <c r="A1218" s="26">
        <v>56</v>
      </c>
      <c r="B1218" s="27" t="s">
        <v>2235</v>
      </c>
      <c r="C1218" s="27" t="s">
        <v>116</v>
      </c>
      <c r="D1218" s="28">
        <v>0.06</v>
      </c>
      <c r="E1218" s="29">
        <v>3.8</v>
      </c>
      <c r="F1218" s="29">
        <v>1.49</v>
      </c>
      <c r="G1218" s="30" t="s">
        <v>39</v>
      </c>
      <c r="H1218" s="27" t="s">
        <v>40</v>
      </c>
      <c r="I1218" s="27" t="s">
        <v>49</v>
      </c>
      <c r="J1218" s="27" t="s">
        <v>72</v>
      </c>
      <c r="K1218" s="27" t="s">
        <v>73</v>
      </c>
      <c r="L1218" s="31" t="s">
        <v>1192</v>
      </c>
      <c r="M1218" s="32">
        <v>0.38</v>
      </c>
      <c r="N1218" s="27" t="s">
        <v>33</v>
      </c>
      <c r="O1218" s="27" t="s">
        <v>111</v>
      </c>
      <c r="P1218" s="27" t="s">
        <v>112</v>
      </c>
      <c r="Q1218" s="27" t="s">
        <v>2236</v>
      </c>
      <c r="R1218" s="33">
        <v>14150</v>
      </c>
      <c r="S1218" s="34">
        <v>42114</v>
      </c>
      <c r="T1218" s="34">
        <v>42115</v>
      </c>
      <c r="U1218" s="29">
        <v>19.6282</v>
      </c>
      <c r="V1218" s="26">
        <v>20</v>
      </c>
      <c r="W1218" s="29">
        <v>73.55</v>
      </c>
      <c r="X1218" s="26">
        <v>88075</v>
      </c>
      <c r="Y1218" s="35">
        <v>3.7399999999999998</v>
      </c>
      <c r="Z1218" s="1" t="s">
        <v>3014</v>
      </c>
      <c r="AA1218" s="36">
        <v>4.5599999999999996</v>
      </c>
      <c r="AB1218" s="54">
        <v>45.600999999999999</v>
      </c>
      <c r="AC1218" s="54">
        <v>1.3974499999999999</v>
      </c>
      <c r="AD1218" s="36">
        <v>47.8718</v>
      </c>
    </row>
    <row r="1219" spans="1:30" s="37" customFormat="1" ht="15.75" customHeight="1" x14ac:dyDescent="0.2">
      <c r="A1219" s="26">
        <v>240</v>
      </c>
      <c r="B1219" s="27" t="s">
        <v>2237</v>
      </c>
      <c r="C1219" s="27" t="s">
        <v>116</v>
      </c>
      <c r="D1219" s="28">
        <v>0.1</v>
      </c>
      <c r="E1219" s="29">
        <v>19.98</v>
      </c>
      <c r="F1219" s="29">
        <v>5.77</v>
      </c>
      <c r="G1219" s="30" t="s">
        <v>87</v>
      </c>
      <c r="H1219" s="27" t="s">
        <v>3095</v>
      </c>
      <c r="I1219" s="27" t="s">
        <v>49</v>
      </c>
      <c r="J1219" s="27" t="s">
        <v>88</v>
      </c>
      <c r="K1219" s="27" t="s">
        <v>73</v>
      </c>
      <c r="L1219" s="31" t="s">
        <v>2238</v>
      </c>
      <c r="M1219" s="32">
        <v>0.38</v>
      </c>
      <c r="N1219" s="27" t="s">
        <v>33</v>
      </c>
      <c r="O1219" s="27" t="s">
        <v>60</v>
      </c>
      <c r="P1219" s="27" t="s">
        <v>61</v>
      </c>
      <c r="Q1219" s="27" t="s">
        <v>2239</v>
      </c>
      <c r="R1219" s="33">
        <v>80817</v>
      </c>
      <c r="S1219" s="34">
        <v>42114</v>
      </c>
      <c r="T1219" s="34">
        <v>42114</v>
      </c>
      <c r="U1219" s="29">
        <v>35.090000000000003</v>
      </c>
      <c r="V1219" s="26">
        <v>3</v>
      </c>
      <c r="W1219" s="29">
        <v>57.41</v>
      </c>
      <c r="X1219" s="26">
        <v>90479</v>
      </c>
      <c r="Y1219" s="35">
        <v>1.7</v>
      </c>
      <c r="Z1219" s="1" t="s">
        <v>3013</v>
      </c>
      <c r="AA1219" s="36">
        <v>5.9940000000000007</v>
      </c>
      <c r="AB1219" s="54">
        <v>35.594200000000001</v>
      </c>
      <c r="AC1219" s="54">
        <v>7.2719333333333331</v>
      </c>
      <c r="AD1219" s="36">
        <v>10.555999999999997</v>
      </c>
    </row>
    <row r="1220" spans="1:30" s="37" customFormat="1" ht="15.75" customHeight="1" x14ac:dyDescent="0.2">
      <c r="A1220" s="26">
        <v>1259</v>
      </c>
      <c r="B1220" s="27" t="s">
        <v>2229</v>
      </c>
      <c r="C1220" s="27" t="s">
        <v>38</v>
      </c>
      <c r="D1220" s="28">
        <v>0.03</v>
      </c>
      <c r="E1220" s="29">
        <v>3.69</v>
      </c>
      <c r="F1220" s="29">
        <v>2.5</v>
      </c>
      <c r="G1220" s="30" t="s">
        <v>87</v>
      </c>
      <c r="H1220" s="27" t="s">
        <v>71</v>
      </c>
      <c r="I1220" s="27" t="s">
        <v>49</v>
      </c>
      <c r="J1220" s="27" t="s">
        <v>345</v>
      </c>
      <c r="K1220" s="27" t="s">
        <v>73</v>
      </c>
      <c r="L1220" s="31" t="s">
        <v>2230</v>
      </c>
      <c r="M1220" s="32">
        <v>0.39</v>
      </c>
      <c r="N1220" s="27" t="s">
        <v>33</v>
      </c>
      <c r="O1220" s="27" t="s">
        <v>34</v>
      </c>
      <c r="P1220" s="27" t="s">
        <v>388</v>
      </c>
      <c r="Q1220" s="27" t="s">
        <v>1586</v>
      </c>
      <c r="R1220" s="33">
        <v>40422</v>
      </c>
      <c r="S1220" s="34">
        <v>42114</v>
      </c>
      <c r="T1220" s="34">
        <v>42114</v>
      </c>
      <c r="U1220" s="29">
        <v>-2196.6840000000002</v>
      </c>
      <c r="V1220" s="26">
        <v>9</v>
      </c>
      <c r="W1220" s="29">
        <v>38.65</v>
      </c>
      <c r="X1220" s="26">
        <v>86534</v>
      </c>
      <c r="Y1220" s="35">
        <v>19.88</v>
      </c>
      <c r="Z1220" s="1" t="s">
        <v>3011</v>
      </c>
      <c r="AA1220" s="36">
        <v>0.99629999999999996</v>
      </c>
      <c r="AB1220" s="54">
        <v>23.576499999999999</v>
      </c>
      <c r="AC1220" s="54">
        <v>1.6748333333333334</v>
      </c>
      <c r="AD1220" s="36">
        <v>2231.8377000000005</v>
      </c>
    </row>
    <row r="1221" spans="1:30" s="37" customFormat="1" ht="15.75" customHeight="1" x14ac:dyDescent="0.2">
      <c r="A1221" s="26">
        <v>56</v>
      </c>
      <c r="B1221" s="27" t="s">
        <v>2235</v>
      </c>
      <c r="C1221" s="27" t="s">
        <v>116</v>
      </c>
      <c r="D1221" s="28">
        <v>0.06</v>
      </c>
      <c r="E1221" s="29">
        <v>1.76</v>
      </c>
      <c r="F1221" s="29">
        <v>0.7</v>
      </c>
      <c r="G1221" s="30" t="s">
        <v>39</v>
      </c>
      <c r="H1221" s="27" t="s">
        <v>40</v>
      </c>
      <c r="I1221" s="27" t="s">
        <v>49</v>
      </c>
      <c r="J1221" s="27" t="s">
        <v>50</v>
      </c>
      <c r="K1221" s="27" t="s">
        <v>51</v>
      </c>
      <c r="L1221" s="31" t="s">
        <v>1663</v>
      </c>
      <c r="M1221" s="32">
        <v>0.56000000000000005</v>
      </c>
      <c r="N1221" s="27" t="s">
        <v>33</v>
      </c>
      <c r="O1221" s="27" t="s">
        <v>111</v>
      </c>
      <c r="P1221" s="27" t="s">
        <v>112</v>
      </c>
      <c r="Q1221" s="27" t="s">
        <v>2236</v>
      </c>
      <c r="R1221" s="33">
        <v>14150</v>
      </c>
      <c r="S1221" s="34">
        <v>42114</v>
      </c>
      <c r="T1221" s="34">
        <v>42115</v>
      </c>
      <c r="U1221" s="29">
        <v>-1.6524000000000001</v>
      </c>
      <c r="V1221" s="26">
        <v>17</v>
      </c>
      <c r="W1221" s="29">
        <v>29.57</v>
      </c>
      <c r="X1221" s="26">
        <v>88075</v>
      </c>
      <c r="Y1221" s="35">
        <v>259.64999999999998</v>
      </c>
      <c r="Z1221" s="1" t="s">
        <v>3014</v>
      </c>
      <c r="AA1221" s="36">
        <v>1.7951999999999999</v>
      </c>
      <c r="AB1221" s="54">
        <v>13.010799999999998</v>
      </c>
      <c r="AC1221" s="54">
        <v>0.97407058823529424</v>
      </c>
      <c r="AD1221" s="36">
        <v>28.7272</v>
      </c>
    </row>
    <row r="1222" spans="1:30" s="37" customFormat="1" ht="15.75" customHeight="1" x14ac:dyDescent="0.2">
      <c r="A1222" s="26">
        <v>151</v>
      </c>
      <c r="B1222" s="27" t="s">
        <v>703</v>
      </c>
      <c r="C1222" s="27" t="s">
        <v>38</v>
      </c>
      <c r="D1222" s="28">
        <v>0.09</v>
      </c>
      <c r="E1222" s="29">
        <v>5.98</v>
      </c>
      <c r="F1222" s="29">
        <v>2.5</v>
      </c>
      <c r="G1222" s="30" t="s">
        <v>39</v>
      </c>
      <c r="H1222" s="27" t="s">
        <v>71</v>
      </c>
      <c r="I1222" s="27" t="s">
        <v>49</v>
      </c>
      <c r="J1222" s="27" t="s">
        <v>345</v>
      </c>
      <c r="K1222" s="27" t="s">
        <v>73</v>
      </c>
      <c r="L1222" s="31" t="s">
        <v>1270</v>
      </c>
      <c r="M1222" s="32">
        <v>0.36</v>
      </c>
      <c r="N1222" s="27" t="s">
        <v>33</v>
      </c>
      <c r="O1222" s="27" t="s">
        <v>34</v>
      </c>
      <c r="P1222" s="27" t="s">
        <v>400</v>
      </c>
      <c r="Q1222" s="27" t="s">
        <v>705</v>
      </c>
      <c r="R1222" s="33">
        <v>37664</v>
      </c>
      <c r="S1222" s="34">
        <v>42114</v>
      </c>
      <c r="T1222" s="34">
        <v>42116</v>
      </c>
      <c r="U1222" s="29">
        <v>13.896000000000001</v>
      </c>
      <c r="V1222" s="26">
        <v>5</v>
      </c>
      <c r="W1222" s="29">
        <v>28.11</v>
      </c>
      <c r="X1222" s="26">
        <v>89523</v>
      </c>
      <c r="Y1222" s="35">
        <v>170.98</v>
      </c>
      <c r="Z1222" s="1" t="s">
        <v>3011</v>
      </c>
      <c r="AA1222" s="36">
        <v>2.6909999999999998</v>
      </c>
      <c r="AB1222" s="54">
        <v>17.990400000000001</v>
      </c>
      <c r="AC1222" s="54">
        <v>2.0239199999999999</v>
      </c>
      <c r="AD1222" s="36">
        <v>9.0229999999999997</v>
      </c>
    </row>
    <row r="1223" spans="1:30" s="37" customFormat="1" ht="15.75" customHeight="1" x14ac:dyDescent="0.2">
      <c r="A1223" s="26">
        <v>627</v>
      </c>
      <c r="B1223" s="27" t="s">
        <v>2253</v>
      </c>
      <c r="C1223" s="27" t="s">
        <v>116</v>
      </c>
      <c r="D1223" s="28">
        <v>0.02</v>
      </c>
      <c r="E1223" s="29">
        <v>419.19</v>
      </c>
      <c r="F1223" s="29">
        <v>19.989999999999998</v>
      </c>
      <c r="G1223" s="30" t="s">
        <v>39</v>
      </c>
      <c r="H1223" s="27" t="s">
        <v>94</v>
      </c>
      <c r="I1223" s="27" t="s">
        <v>49</v>
      </c>
      <c r="J1223" s="27" t="s">
        <v>78</v>
      </c>
      <c r="K1223" s="27" t="s">
        <v>73</v>
      </c>
      <c r="L1223" s="31" t="s">
        <v>2192</v>
      </c>
      <c r="M1223" s="32">
        <v>0.57999999999999996</v>
      </c>
      <c r="N1223" s="27" t="s">
        <v>33</v>
      </c>
      <c r="O1223" s="27" t="s">
        <v>111</v>
      </c>
      <c r="P1223" s="27" t="s">
        <v>317</v>
      </c>
      <c r="Q1223" s="27" t="s">
        <v>2254</v>
      </c>
      <c r="R1223" s="33">
        <v>43952</v>
      </c>
      <c r="S1223" s="34">
        <v>42115</v>
      </c>
      <c r="T1223" s="34">
        <v>42116</v>
      </c>
      <c r="U1223" s="29">
        <v>6610.2</v>
      </c>
      <c r="V1223" s="26">
        <v>22</v>
      </c>
      <c r="W1223" s="29">
        <v>9580</v>
      </c>
      <c r="X1223" s="26">
        <v>90469</v>
      </c>
      <c r="Y1223" s="35">
        <v>363.2</v>
      </c>
      <c r="Z1223" s="1" t="s">
        <v>3014</v>
      </c>
      <c r="AA1223" s="36">
        <v>184.4436</v>
      </c>
      <c r="AB1223" s="54">
        <v>4023.6000000000004</v>
      </c>
      <c r="AC1223" s="54">
        <v>252.56363636363633</v>
      </c>
      <c r="AD1223" s="36">
        <v>2765.3664000000008</v>
      </c>
    </row>
    <row r="1224" spans="1:30" s="37" customFormat="1" ht="15.75" customHeight="1" x14ac:dyDescent="0.2">
      <c r="A1224" s="26">
        <v>2548</v>
      </c>
      <c r="B1224" s="27" t="s">
        <v>1984</v>
      </c>
      <c r="C1224" s="27" t="s">
        <v>48</v>
      </c>
      <c r="D1224" s="28">
        <v>0.04</v>
      </c>
      <c r="E1224" s="29">
        <v>212.6</v>
      </c>
      <c r="F1224" s="29">
        <v>110.2</v>
      </c>
      <c r="G1224" s="30" t="s">
        <v>27</v>
      </c>
      <c r="H1224" s="27" t="s">
        <v>3095</v>
      </c>
      <c r="I1224" s="27" t="s">
        <v>29</v>
      </c>
      <c r="J1224" s="27" t="s">
        <v>30</v>
      </c>
      <c r="K1224" s="27" t="s">
        <v>31</v>
      </c>
      <c r="L1224" s="31" t="s">
        <v>163</v>
      </c>
      <c r="M1224" s="32">
        <v>0.73</v>
      </c>
      <c r="N1224" s="27" t="s">
        <v>33</v>
      </c>
      <c r="O1224" s="27" t="s">
        <v>60</v>
      </c>
      <c r="P1224" s="27" t="s">
        <v>90</v>
      </c>
      <c r="Q1224" s="27" t="s">
        <v>100</v>
      </c>
      <c r="R1224" s="33">
        <v>90068</v>
      </c>
      <c r="S1224" s="34">
        <v>42115</v>
      </c>
      <c r="T1224" s="34">
        <v>42119</v>
      </c>
      <c r="U1224" s="29">
        <v>-513.79042000000004</v>
      </c>
      <c r="V1224" s="26">
        <v>33</v>
      </c>
      <c r="W1224" s="29">
        <v>7384.18</v>
      </c>
      <c r="X1224" s="26">
        <v>40997</v>
      </c>
      <c r="Y1224" s="35">
        <v>40.93</v>
      </c>
      <c r="Z1224" s="1" t="s">
        <v>3013</v>
      </c>
      <c r="AA1224" s="36">
        <v>280.63200000000001</v>
      </c>
      <c r="AB1224" s="54">
        <v>1993.7286000000001</v>
      </c>
      <c r="AC1224" s="54">
        <v>163.34701212121212</v>
      </c>
      <c r="AD1224" s="36">
        <v>7507.1384200000002</v>
      </c>
    </row>
    <row r="1225" spans="1:30" s="37" customFormat="1" ht="15.75" customHeight="1" x14ac:dyDescent="0.2">
      <c r="A1225" s="26">
        <v>3283</v>
      </c>
      <c r="B1225" s="27" t="s">
        <v>2244</v>
      </c>
      <c r="C1225" s="27" t="s">
        <v>26</v>
      </c>
      <c r="D1225" s="28">
        <v>0.05</v>
      </c>
      <c r="E1225" s="29">
        <v>363.25</v>
      </c>
      <c r="F1225" s="29">
        <v>19.989999999999998</v>
      </c>
      <c r="G1225" s="30" t="s">
        <v>87</v>
      </c>
      <c r="H1225" s="27" t="s">
        <v>94</v>
      </c>
      <c r="I1225" s="27" t="s">
        <v>49</v>
      </c>
      <c r="J1225" s="27" t="s">
        <v>95</v>
      </c>
      <c r="K1225" s="27" t="s">
        <v>73</v>
      </c>
      <c r="L1225" s="31" t="s">
        <v>199</v>
      </c>
      <c r="M1225" s="32">
        <v>0.56999999999999995</v>
      </c>
      <c r="N1225" s="27" t="s">
        <v>33</v>
      </c>
      <c r="O1225" s="27" t="s">
        <v>34</v>
      </c>
      <c r="P1225" s="27" t="s">
        <v>123</v>
      </c>
      <c r="Q1225" s="27" t="s">
        <v>2245</v>
      </c>
      <c r="R1225" s="33">
        <v>33156</v>
      </c>
      <c r="S1225" s="34">
        <v>42115</v>
      </c>
      <c r="T1225" s="34">
        <v>42115</v>
      </c>
      <c r="U1225" s="29">
        <v>-269.75549999999998</v>
      </c>
      <c r="V1225" s="26">
        <v>5</v>
      </c>
      <c r="W1225" s="29">
        <v>1867.04</v>
      </c>
      <c r="X1225" s="26">
        <v>90752</v>
      </c>
      <c r="Y1225" s="35">
        <v>4.9000000000000004</v>
      </c>
      <c r="Z1225" s="1" t="s">
        <v>3011</v>
      </c>
      <c r="AA1225" s="36">
        <v>90.8125</v>
      </c>
      <c r="AB1225" s="54">
        <v>802.82720000000006</v>
      </c>
      <c r="AC1225" s="54">
        <v>212.84255999999999</v>
      </c>
      <c r="AD1225" s="36">
        <v>2025.9929999999999</v>
      </c>
    </row>
    <row r="1226" spans="1:30" s="37" customFormat="1" ht="15.75" customHeight="1" x14ac:dyDescent="0.2">
      <c r="A1226" s="26">
        <v>2549</v>
      </c>
      <c r="B1226" s="27" t="s">
        <v>2251</v>
      </c>
      <c r="C1226" s="27" t="s">
        <v>48</v>
      </c>
      <c r="D1226" s="28">
        <v>0.04</v>
      </c>
      <c r="E1226" s="29">
        <v>212.6</v>
      </c>
      <c r="F1226" s="29">
        <v>110.2</v>
      </c>
      <c r="G1226" s="30" t="s">
        <v>27</v>
      </c>
      <c r="H1226" s="27" t="s">
        <v>3095</v>
      </c>
      <c r="I1226" s="27" t="s">
        <v>29</v>
      </c>
      <c r="J1226" s="27" t="s">
        <v>30</v>
      </c>
      <c r="K1226" s="27" t="s">
        <v>31</v>
      </c>
      <c r="L1226" s="31" t="s">
        <v>163</v>
      </c>
      <c r="M1226" s="32">
        <v>0.73</v>
      </c>
      <c r="N1226" s="27" t="s">
        <v>33</v>
      </c>
      <c r="O1226" s="27" t="s">
        <v>111</v>
      </c>
      <c r="P1226" s="27" t="s">
        <v>317</v>
      </c>
      <c r="Q1226" s="27" t="s">
        <v>2252</v>
      </c>
      <c r="R1226" s="33">
        <v>43213</v>
      </c>
      <c r="S1226" s="34">
        <v>42115</v>
      </c>
      <c r="T1226" s="34">
        <v>42119</v>
      </c>
      <c r="U1226" s="29">
        <v>-513.79042000000004</v>
      </c>
      <c r="V1226" s="26">
        <v>8</v>
      </c>
      <c r="W1226" s="29">
        <v>1790.1</v>
      </c>
      <c r="X1226" s="26">
        <v>88657</v>
      </c>
      <c r="Y1226" s="35">
        <v>119.89999999999999</v>
      </c>
      <c r="Z1226" s="1" t="s">
        <v>3014</v>
      </c>
      <c r="AA1226" s="36">
        <v>68.031999999999996</v>
      </c>
      <c r="AB1226" s="54">
        <v>483.327</v>
      </c>
      <c r="AC1226" s="54">
        <v>163.34662499999999</v>
      </c>
      <c r="AD1226" s="36">
        <v>2125.6584199999998</v>
      </c>
    </row>
    <row r="1227" spans="1:30" s="37" customFormat="1" ht="15.75" customHeight="1" x14ac:dyDescent="0.2">
      <c r="A1227" s="26">
        <v>2548</v>
      </c>
      <c r="B1227" s="27" t="s">
        <v>1984</v>
      </c>
      <c r="C1227" s="27" t="s">
        <v>48</v>
      </c>
      <c r="D1227" s="28">
        <v>0.05</v>
      </c>
      <c r="E1227" s="29">
        <v>22.99</v>
      </c>
      <c r="F1227" s="29">
        <v>8.99</v>
      </c>
      <c r="G1227" s="30" t="s">
        <v>39</v>
      </c>
      <c r="H1227" s="27" t="s">
        <v>3095</v>
      </c>
      <c r="I1227" s="27" t="s">
        <v>49</v>
      </c>
      <c r="J1227" s="27" t="s">
        <v>50</v>
      </c>
      <c r="K1227" s="27" t="s">
        <v>43</v>
      </c>
      <c r="L1227" s="31" t="s">
        <v>2250</v>
      </c>
      <c r="M1227" s="32">
        <v>0.56999999999999995</v>
      </c>
      <c r="N1227" s="27" t="s">
        <v>33</v>
      </c>
      <c r="O1227" s="27" t="s">
        <v>60</v>
      </c>
      <c r="P1227" s="27" t="s">
        <v>90</v>
      </c>
      <c r="Q1227" s="27" t="s">
        <v>100</v>
      </c>
      <c r="R1227" s="33">
        <v>90068</v>
      </c>
      <c r="S1227" s="34">
        <v>42115</v>
      </c>
      <c r="T1227" s="34">
        <v>42122</v>
      </c>
      <c r="U1227" s="29">
        <v>18.27</v>
      </c>
      <c r="V1227" s="26">
        <v>37</v>
      </c>
      <c r="W1227" s="29">
        <v>881.74</v>
      </c>
      <c r="X1227" s="26">
        <v>40997</v>
      </c>
      <c r="Y1227" s="35">
        <v>42.919999999999995</v>
      </c>
      <c r="Z1227" s="1" t="s">
        <v>3013</v>
      </c>
      <c r="AA1227" s="36">
        <v>42.531500000000001</v>
      </c>
      <c r="AB1227" s="54">
        <v>379.14820000000003</v>
      </c>
      <c r="AC1227" s="54">
        <v>13.58356216216216</v>
      </c>
      <c r="AD1227" s="36">
        <v>811.94849999999997</v>
      </c>
    </row>
    <row r="1228" spans="1:30" s="37" customFormat="1" ht="15.75" customHeight="1" x14ac:dyDescent="0.2">
      <c r="A1228" s="26">
        <v>2260</v>
      </c>
      <c r="B1228" s="27" t="s">
        <v>1196</v>
      </c>
      <c r="C1228" s="27" t="s">
        <v>38</v>
      </c>
      <c r="D1228" s="28">
        <v>0.09</v>
      </c>
      <c r="E1228" s="29">
        <v>119.99</v>
      </c>
      <c r="F1228" s="29">
        <v>14</v>
      </c>
      <c r="G1228" s="30" t="s">
        <v>27</v>
      </c>
      <c r="H1228" s="27" t="s">
        <v>94</v>
      </c>
      <c r="I1228" s="27" t="s">
        <v>41</v>
      </c>
      <c r="J1228" s="27" t="s">
        <v>57</v>
      </c>
      <c r="K1228" s="27" t="s">
        <v>58</v>
      </c>
      <c r="L1228" s="31" t="s">
        <v>2151</v>
      </c>
      <c r="M1228" s="32">
        <v>0.36</v>
      </c>
      <c r="N1228" s="27" t="s">
        <v>33</v>
      </c>
      <c r="O1228" s="27" t="s">
        <v>34</v>
      </c>
      <c r="P1228" s="27" t="s">
        <v>75</v>
      </c>
      <c r="Q1228" s="27" t="s">
        <v>1197</v>
      </c>
      <c r="R1228" s="33">
        <v>30161</v>
      </c>
      <c r="S1228" s="34">
        <v>42115</v>
      </c>
      <c r="T1228" s="34">
        <v>42117</v>
      </c>
      <c r="U1228" s="29">
        <v>1055.604</v>
      </c>
      <c r="V1228" s="26">
        <v>4</v>
      </c>
      <c r="W1228" s="29">
        <v>461.24</v>
      </c>
      <c r="X1228" s="26">
        <v>89602</v>
      </c>
      <c r="Y1228" s="35">
        <v>15.99</v>
      </c>
      <c r="Z1228" s="1" t="s">
        <v>3011</v>
      </c>
      <c r="AA1228" s="36">
        <v>43.196399999999997</v>
      </c>
      <c r="AB1228" s="54">
        <v>295.1936</v>
      </c>
      <c r="AC1228" s="54">
        <v>41.511600000000001</v>
      </c>
      <c r="AD1228" s="36">
        <v>-651.56040000000007</v>
      </c>
    </row>
    <row r="1229" spans="1:30" s="37" customFormat="1" ht="15.75" customHeight="1" x14ac:dyDescent="0.2">
      <c r="A1229" s="26">
        <v>535</v>
      </c>
      <c r="B1229" s="27" t="s">
        <v>2248</v>
      </c>
      <c r="C1229" s="27" t="s">
        <v>48</v>
      </c>
      <c r="D1229" s="28">
        <v>0</v>
      </c>
      <c r="E1229" s="29">
        <v>15.99</v>
      </c>
      <c r="F1229" s="29">
        <v>13.18</v>
      </c>
      <c r="G1229" s="30" t="s">
        <v>39</v>
      </c>
      <c r="H1229" s="27" t="s">
        <v>94</v>
      </c>
      <c r="I1229" s="27" t="s">
        <v>49</v>
      </c>
      <c r="J1229" s="27" t="s">
        <v>72</v>
      </c>
      <c r="K1229" s="27" t="s">
        <v>73</v>
      </c>
      <c r="L1229" s="31" t="s">
        <v>295</v>
      </c>
      <c r="M1229" s="32">
        <v>0.37</v>
      </c>
      <c r="N1229" s="27" t="s">
        <v>33</v>
      </c>
      <c r="O1229" s="27" t="s">
        <v>34</v>
      </c>
      <c r="P1229" s="27" t="s">
        <v>242</v>
      </c>
      <c r="Q1229" s="27" t="s">
        <v>1501</v>
      </c>
      <c r="R1229" s="33">
        <v>22025</v>
      </c>
      <c r="S1229" s="34">
        <v>42115</v>
      </c>
      <c r="T1229" s="34">
        <v>42119</v>
      </c>
      <c r="U1229" s="29">
        <v>46.488</v>
      </c>
      <c r="V1229" s="26">
        <v>23</v>
      </c>
      <c r="W1229" s="29">
        <v>403.25</v>
      </c>
      <c r="X1229" s="26">
        <v>88511</v>
      </c>
      <c r="Y1229" s="35">
        <v>30.93</v>
      </c>
      <c r="Z1229" s="1" t="s">
        <v>3011</v>
      </c>
      <c r="AA1229" s="36">
        <v>0</v>
      </c>
      <c r="AB1229" s="54">
        <v>254.04750000000001</v>
      </c>
      <c r="AC1229" s="54">
        <v>6.4870652173913053</v>
      </c>
      <c r="AD1229" s="36">
        <v>343.58199999999999</v>
      </c>
    </row>
    <row r="1230" spans="1:30" s="37" customFormat="1" ht="15.75" customHeight="1" x14ac:dyDescent="0.2">
      <c r="A1230" s="26">
        <v>2548</v>
      </c>
      <c r="B1230" s="27" t="s">
        <v>1984</v>
      </c>
      <c r="C1230" s="27" t="s">
        <v>48</v>
      </c>
      <c r="D1230" s="28">
        <v>0.05</v>
      </c>
      <c r="E1230" s="29">
        <v>30.98</v>
      </c>
      <c r="F1230" s="29">
        <v>9.18</v>
      </c>
      <c r="G1230" s="30" t="s">
        <v>87</v>
      </c>
      <c r="H1230" s="27" t="s">
        <v>3095</v>
      </c>
      <c r="I1230" s="27" t="s">
        <v>49</v>
      </c>
      <c r="J1230" s="27" t="s">
        <v>88</v>
      </c>
      <c r="K1230" s="27" t="s">
        <v>73</v>
      </c>
      <c r="L1230" s="31" t="s">
        <v>2249</v>
      </c>
      <c r="M1230" s="32">
        <v>0.4</v>
      </c>
      <c r="N1230" s="27" t="s">
        <v>33</v>
      </c>
      <c r="O1230" s="27" t="s">
        <v>60</v>
      </c>
      <c r="P1230" s="27" t="s">
        <v>90</v>
      </c>
      <c r="Q1230" s="27" t="s">
        <v>100</v>
      </c>
      <c r="R1230" s="33">
        <v>90068</v>
      </c>
      <c r="S1230" s="34">
        <v>42115</v>
      </c>
      <c r="T1230" s="34">
        <v>42115</v>
      </c>
      <c r="U1230" s="29">
        <v>61.47</v>
      </c>
      <c r="V1230" s="26">
        <v>12</v>
      </c>
      <c r="W1230" s="29">
        <v>382.29</v>
      </c>
      <c r="X1230" s="26">
        <v>40997</v>
      </c>
      <c r="Y1230" s="35">
        <v>22.939999999999998</v>
      </c>
      <c r="Z1230" s="1" t="s">
        <v>3013</v>
      </c>
      <c r="AA1230" s="36">
        <v>18.588000000000001</v>
      </c>
      <c r="AB1230" s="54">
        <v>229.374</v>
      </c>
      <c r="AC1230" s="54">
        <v>12.743000000000002</v>
      </c>
      <c r="AD1230" s="36">
        <v>293.05200000000002</v>
      </c>
    </row>
    <row r="1231" spans="1:30" s="37" customFormat="1" ht="15.75" customHeight="1" x14ac:dyDescent="0.2">
      <c r="A1231" s="26">
        <v>2038</v>
      </c>
      <c r="B1231" s="27" t="s">
        <v>2246</v>
      </c>
      <c r="C1231" s="27" t="s">
        <v>38</v>
      </c>
      <c r="D1231" s="28">
        <v>0.06</v>
      </c>
      <c r="E1231" s="29">
        <v>40.99</v>
      </c>
      <c r="F1231" s="29">
        <v>17.48</v>
      </c>
      <c r="G1231" s="30" t="s">
        <v>39</v>
      </c>
      <c r="H1231" s="27" t="s">
        <v>3095</v>
      </c>
      <c r="I1231" s="27" t="s">
        <v>49</v>
      </c>
      <c r="J1231" s="27" t="s">
        <v>88</v>
      </c>
      <c r="K1231" s="27" t="s">
        <v>73</v>
      </c>
      <c r="L1231" s="31" t="s">
        <v>1398</v>
      </c>
      <c r="M1231" s="32">
        <v>0.36</v>
      </c>
      <c r="N1231" s="27" t="s">
        <v>33</v>
      </c>
      <c r="O1231" s="27" t="s">
        <v>111</v>
      </c>
      <c r="P1231" s="27" t="s">
        <v>112</v>
      </c>
      <c r="Q1231" s="27" t="s">
        <v>68</v>
      </c>
      <c r="R1231" s="33">
        <v>10550</v>
      </c>
      <c r="S1231" s="34">
        <v>42115</v>
      </c>
      <c r="T1231" s="34">
        <v>42115</v>
      </c>
      <c r="U1231" s="29">
        <v>109.16</v>
      </c>
      <c r="V1231" s="26">
        <v>7</v>
      </c>
      <c r="W1231" s="29">
        <v>277.12</v>
      </c>
      <c r="X1231" s="26">
        <v>89334</v>
      </c>
      <c r="Y1231" s="35">
        <v>212.56</v>
      </c>
      <c r="Z1231" s="1" t="s">
        <v>3014</v>
      </c>
      <c r="AA1231" s="36">
        <v>17.215800000000002</v>
      </c>
      <c r="AB1231" s="54">
        <v>177.35679999999999</v>
      </c>
      <c r="AC1231" s="54">
        <v>14.251885714285713</v>
      </c>
      <c r="AD1231" s="36">
        <v>133.26420000000002</v>
      </c>
    </row>
    <row r="1232" spans="1:30" s="37" customFormat="1" ht="15.75" customHeight="1" x14ac:dyDescent="0.2">
      <c r="A1232" s="26">
        <v>2549</v>
      </c>
      <c r="B1232" s="27" t="s">
        <v>2251</v>
      </c>
      <c r="C1232" s="27" t="s">
        <v>48</v>
      </c>
      <c r="D1232" s="28">
        <v>0.05</v>
      </c>
      <c r="E1232" s="29">
        <v>22.99</v>
      </c>
      <c r="F1232" s="29">
        <v>8.99</v>
      </c>
      <c r="G1232" s="30" t="s">
        <v>39</v>
      </c>
      <c r="H1232" s="27" t="s">
        <v>3095</v>
      </c>
      <c r="I1232" s="27" t="s">
        <v>49</v>
      </c>
      <c r="J1232" s="27" t="s">
        <v>50</v>
      </c>
      <c r="K1232" s="27" t="s">
        <v>43</v>
      </c>
      <c r="L1232" s="31" t="s">
        <v>2250</v>
      </c>
      <c r="M1232" s="32">
        <v>0.56999999999999995</v>
      </c>
      <c r="N1232" s="27" t="s">
        <v>33</v>
      </c>
      <c r="O1232" s="27" t="s">
        <v>111</v>
      </c>
      <c r="P1232" s="27" t="s">
        <v>317</v>
      </c>
      <c r="Q1232" s="27" t="s">
        <v>2252</v>
      </c>
      <c r="R1232" s="33">
        <v>43213</v>
      </c>
      <c r="S1232" s="34">
        <v>42115</v>
      </c>
      <c r="T1232" s="34">
        <v>42122</v>
      </c>
      <c r="U1232" s="29">
        <v>18.27</v>
      </c>
      <c r="V1232" s="26">
        <v>9</v>
      </c>
      <c r="W1232" s="29">
        <v>214.48</v>
      </c>
      <c r="X1232" s="26">
        <v>88657</v>
      </c>
      <c r="Y1232" s="35">
        <v>30.93</v>
      </c>
      <c r="Z1232" s="1" t="s">
        <v>3014</v>
      </c>
      <c r="AA1232" s="36">
        <v>10.345499999999999</v>
      </c>
      <c r="AB1232" s="54">
        <v>92.226400000000012</v>
      </c>
      <c r="AC1232" s="54">
        <v>13.583733333333331</v>
      </c>
      <c r="AD1232" s="36">
        <v>176.87449999999998</v>
      </c>
    </row>
    <row r="1233" spans="1:30" s="37" customFormat="1" ht="15.75" customHeight="1" x14ac:dyDescent="0.2">
      <c r="A1233" s="26">
        <v>2549</v>
      </c>
      <c r="B1233" s="27" t="s">
        <v>2251</v>
      </c>
      <c r="C1233" s="27" t="s">
        <v>48</v>
      </c>
      <c r="D1233" s="28">
        <v>0.05</v>
      </c>
      <c r="E1233" s="29">
        <v>30.98</v>
      </c>
      <c r="F1233" s="29">
        <v>9.18</v>
      </c>
      <c r="G1233" s="30" t="s">
        <v>87</v>
      </c>
      <c r="H1233" s="27" t="s">
        <v>3095</v>
      </c>
      <c r="I1233" s="27" t="s">
        <v>49</v>
      </c>
      <c r="J1233" s="27" t="s">
        <v>88</v>
      </c>
      <c r="K1233" s="27" t="s">
        <v>73</v>
      </c>
      <c r="L1233" s="31" t="s">
        <v>2249</v>
      </c>
      <c r="M1233" s="32">
        <v>0.4</v>
      </c>
      <c r="N1233" s="27" t="s">
        <v>33</v>
      </c>
      <c r="O1233" s="27" t="s">
        <v>111</v>
      </c>
      <c r="P1233" s="27" t="s">
        <v>317</v>
      </c>
      <c r="Q1233" s="27" t="s">
        <v>2252</v>
      </c>
      <c r="R1233" s="33">
        <v>43213</v>
      </c>
      <c r="S1233" s="34">
        <v>42115</v>
      </c>
      <c r="T1233" s="34">
        <v>42115</v>
      </c>
      <c r="U1233" s="29">
        <v>61.47</v>
      </c>
      <c r="V1233" s="26">
        <v>3</v>
      </c>
      <c r="W1233" s="29">
        <v>95.57</v>
      </c>
      <c r="X1233" s="26">
        <v>88657</v>
      </c>
      <c r="Y1233" s="35">
        <v>22.939999999999998</v>
      </c>
      <c r="Z1233" s="1" t="s">
        <v>3014</v>
      </c>
      <c r="AA1233" s="36">
        <v>4.6470000000000002</v>
      </c>
      <c r="AB1233" s="54">
        <v>57.341999999999992</v>
      </c>
      <c r="AC1233" s="54">
        <v>12.742666666666667</v>
      </c>
      <c r="AD1233" s="36">
        <v>20.272999999999982</v>
      </c>
    </row>
    <row r="1234" spans="1:30" s="37" customFormat="1" ht="15.75" customHeight="1" x14ac:dyDescent="0.2">
      <c r="A1234" s="26">
        <v>2964</v>
      </c>
      <c r="B1234" s="27" t="s">
        <v>2247</v>
      </c>
      <c r="C1234" s="27" t="s">
        <v>38</v>
      </c>
      <c r="D1234" s="28">
        <v>0.06</v>
      </c>
      <c r="E1234" s="29">
        <v>42.98</v>
      </c>
      <c r="F1234" s="29">
        <v>4.62</v>
      </c>
      <c r="G1234" s="30" t="s">
        <v>39</v>
      </c>
      <c r="H1234" s="27" t="s">
        <v>40</v>
      </c>
      <c r="I1234" s="27" t="s">
        <v>49</v>
      </c>
      <c r="J1234" s="27" t="s">
        <v>95</v>
      </c>
      <c r="K1234" s="27" t="s">
        <v>73</v>
      </c>
      <c r="L1234" s="31" t="s">
        <v>280</v>
      </c>
      <c r="M1234" s="32">
        <v>0.56000000000000005</v>
      </c>
      <c r="N1234" s="27" t="s">
        <v>33</v>
      </c>
      <c r="O1234" s="27" t="s">
        <v>111</v>
      </c>
      <c r="P1234" s="27" t="s">
        <v>317</v>
      </c>
      <c r="Q1234" s="27" t="s">
        <v>68</v>
      </c>
      <c r="R1234" s="33">
        <v>43050</v>
      </c>
      <c r="S1234" s="34">
        <v>42115</v>
      </c>
      <c r="T1234" s="34">
        <v>42117</v>
      </c>
      <c r="U1234" s="29">
        <v>-24.63</v>
      </c>
      <c r="V1234" s="26">
        <v>1</v>
      </c>
      <c r="W1234" s="29">
        <v>47.04</v>
      </c>
      <c r="X1234" s="26">
        <v>88610</v>
      </c>
      <c r="Y1234" s="35">
        <v>212.56</v>
      </c>
      <c r="Z1234" s="1" t="s">
        <v>3014</v>
      </c>
      <c r="AA1234" s="36">
        <v>2.5787999999999998</v>
      </c>
      <c r="AB1234" s="54">
        <v>20.697599999999998</v>
      </c>
      <c r="AC1234" s="54">
        <v>26.342400000000001</v>
      </c>
      <c r="AD1234" s="36">
        <v>64.471199999999996</v>
      </c>
    </row>
    <row r="1235" spans="1:30" s="37" customFormat="1" ht="15.75" customHeight="1" x14ac:dyDescent="0.2">
      <c r="A1235" s="26">
        <v>2668</v>
      </c>
      <c r="B1235" s="27" t="s">
        <v>1896</v>
      </c>
      <c r="C1235" s="27" t="s">
        <v>3094</v>
      </c>
      <c r="D1235" s="28">
        <v>0.06</v>
      </c>
      <c r="E1235" s="29">
        <v>3.93</v>
      </c>
      <c r="F1235" s="29">
        <v>0.99</v>
      </c>
      <c r="G1235" s="30" t="s">
        <v>39</v>
      </c>
      <c r="H1235" s="27" t="s">
        <v>71</v>
      </c>
      <c r="I1235" s="27" t="s">
        <v>49</v>
      </c>
      <c r="J1235" s="27" t="s">
        <v>176</v>
      </c>
      <c r="K1235" s="27" t="s">
        <v>51</v>
      </c>
      <c r="L1235" s="31" t="s">
        <v>2255</v>
      </c>
      <c r="M1235" s="32">
        <v>0.39</v>
      </c>
      <c r="N1235" s="27" t="s">
        <v>33</v>
      </c>
      <c r="O1235" s="27" t="s">
        <v>53</v>
      </c>
      <c r="P1235" s="27" t="s">
        <v>1071</v>
      </c>
      <c r="Q1235" s="27" t="s">
        <v>1898</v>
      </c>
      <c r="R1235" s="33">
        <v>57701</v>
      </c>
      <c r="S1235" s="34">
        <v>42115</v>
      </c>
      <c r="T1235" s="34">
        <v>42117</v>
      </c>
      <c r="U1235" s="29">
        <v>10.782400000000001</v>
      </c>
      <c r="V1235" s="26">
        <v>6</v>
      </c>
      <c r="W1235" s="29">
        <v>24.18</v>
      </c>
      <c r="X1235" s="26">
        <v>87832</v>
      </c>
      <c r="Y1235" s="35">
        <v>419.17</v>
      </c>
      <c r="Z1235" s="1" t="s">
        <v>3012</v>
      </c>
      <c r="AA1235" s="36">
        <v>1.4148000000000001</v>
      </c>
      <c r="AB1235" s="54">
        <v>14.749799999999999</v>
      </c>
      <c r="AC1235" s="54">
        <v>1.5717000000000001</v>
      </c>
      <c r="AD1235" s="36">
        <v>10.992799999999999</v>
      </c>
    </row>
    <row r="1236" spans="1:30" s="37" customFormat="1" ht="15.75" customHeight="1" x14ac:dyDescent="0.2">
      <c r="A1236" s="26">
        <v>2260</v>
      </c>
      <c r="B1236" s="27" t="s">
        <v>1196</v>
      </c>
      <c r="C1236" s="27" t="s">
        <v>38</v>
      </c>
      <c r="D1236" s="28">
        <v>0.08</v>
      </c>
      <c r="E1236" s="29">
        <v>4.9800000000000004</v>
      </c>
      <c r="F1236" s="29">
        <v>0.49</v>
      </c>
      <c r="G1236" s="30" t="s">
        <v>39</v>
      </c>
      <c r="H1236" s="27" t="s">
        <v>94</v>
      </c>
      <c r="I1236" s="27" t="s">
        <v>49</v>
      </c>
      <c r="J1236" s="27" t="s">
        <v>152</v>
      </c>
      <c r="K1236" s="27" t="s">
        <v>73</v>
      </c>
      <c r="L1236" s="31" t="s">
        <v>1103</v>
      </c>
      <c r="M1236" s="32">
        <v>0.39</v>
      </c>
      <c r="N1236" s="27" t="s">
        <v>33</v>
      </c>
      <c r="O1236" s="27" t="s">
        <v>34</v>
      </c>
      <c r="P1236" s="27" t="s">
        <v>75</v>
      </c>
      <c r="Q1236" s="27" t="s">
        <v>1197</v>
      </c>
      <c r="R1236" s="33">
        <v>30161</v>
      </c>
      <c r="S1236" s="34">
        <v>42115</v>
      </c>
      <c r="T1236" s="34">
        <v>42116</v>
      </c>
      <c r="U1236" s="29">
        <v>4949.9160000000002</v>
      </c>
      <c r="V1236" s="26">
        <v>1</v>
      </c>
      <c r="W1236" s="29">
        <v>4.95</v>
      </c>
      <c r="X1236" s="26">
        <v>89602</v>
      </c>
      <c r="Y1236" s="35">
        <v>3.87</v>
      </c>
      <c r="Z1236" s="1" t="s">
        <v>3011</v>
      </c>
      <c r="AA1236" s="36">
        <v>0.39840000000000003</v>
      </c>
      <c r="AB1236" s="54">
        <v>3.0194999999999999</v>
      </c>
      <c r="AC1236" s="54">
        <v>1.9305000000000001</v>
      </c>
      <c r="AD1236" s="36">
        <v>-4945.8544000000002</v>
      </c>
    </row>
    <row r="1237" spans="1:30" s="37" customFormat="1" ht="15.75" customHeight="1" x14ac:dyDescent="0.2">
      <c r="A1237" s="26">
        <v>2938</v>
      </c>
      <c r="B1237" s="27" t="s">
        <v>2258</v>
      </c>
      <c r="C1237" s="27" t="s">
        <v>38</v>
      </c>
      <c r="D1237" s="28">
        <v>0.03</v>
      </c>
      <c r="E1237" s="29">
        <v>47.9</v>
      </c>
      <c r="F1237" s="29">
        <v>5.86</v>
      </c>
      <c r="G1237" s="30" t="s">
        <v>39</v>
      </c>
      <c r="H1237" s="27" t="s">
        <v>3095</v>
      </c>
      <c r="I1237" s="27" t="s">
        <v>49</v>
      </c>
      <c r="J1237" s="27" t="s">
        <v>88</v>
      </c>
      <c r="K1237" s="27" t="s">
        <v>73</v>
      </c>
      <c r="L1237" s="31" t="s">
        <v>1309</v>
      </c>
      <c r="M1237" s="32">
        <v>0.37</v>
      </c>
      <c r="N1237" s="27" t="s">
        <v>33</v>
      </c>
      <c r="O1237" s="27" t="s">
        <v>111</v>
      </c>
      <c r="P1237" s="27" t="s">
        <v>403</v>
      </c>
      <c r="Q1237" s="27" t="s">
        <v>2259</v>
      </c>
      <c r="R1237" s="33">
        <v>2180</v>
      </c>
      <c r="S1237" s="34">
        <v>42116</v>
      </c>
      <c r="T1237" s="34">
        <v>42119</v>
      </c>
      <c r="U1237" s="29">
        <v>642.99030000000005</v>
      </c>
      <c r="V1237" s="26">
        <v>20</v>
      </c>
      <c r="W1237" s="29">
        <v>931.87</v>
      </c>
      <c r="X1237" s="26">
        <v>87620</v>
      </c>
      <c r="Y1237" s="35">
        <v>35.43</v>
      </c>
      <c r="Z1237" s="1" t="s">
        <v>3014</v>
      </c>
      <c r="AA1237" s="36">
        <v>28.739999999999995</v>
      </c>
      <c r="AB1237" s="54">
        <v>587.07810000000006</v>
      </c>
      <c r="AC1237" s="54">
        <v>17.239594999999998</v>
      </c>
      <c r="AD1237" s="36">
        <v>254.27969999999993</v>
      </c>
    </row>
    <row r="1238" spans="1:30" s="37" customFormat="1" ht="15.75" customHeight="1" x14ac:dyDescent="0.2">
      <c r="A1238" s="26">
        <v>2737</v>
      </c>
      <c r="B1238" s="27" t="s">
        <v>2270</v>
      </c>
      <c r="C1238" s="27" t="s">
        <v>3094</v>
      </c>
      <c r="D1238" s="28">
        <v>0.05</v>
      </c>
      <c r="E1238" s="29">
        <v>100.98</v>
      </c>
      <c r="F1238" s="29">
        <v>7.18</v>
      </c>
      <c r="G1238" s="30" t="s">
        <v>39</v>
      </c>
      <c r="H1238" s="27" t="s">
        <v>3095</v>
      </c>
      <c r="I1238" s="27" t="s">
        <v>41</v>
      </c>
      <c r="J1238" s="27" t="s">
        <v>42</v>
      </c>
      <c r="K1238" s="27" t="s">
        <v>73</v>
      </c>
      <c r="L1238" s="31" t="s">
        <v>669</v>
      </c>
      <c r="M1238" s="32">
        <v>0.4</v>
      </c>
      <c r="N1238" s="27" t="s">
        <v>33</v>
      </c>
      <c r="O1238" s="27" t="s">
        <v>111</v>
      </c>
      <c r="P1238" s="27" t="s">
        <v>633</v>
      </c>
      <c r="Q1238" s="27" t="s">
        <v>1946</v>
      </c>
      <c r="R1238" s="33">
        <v>5701</v>
      </c>
      <c r="S1238" s="34">
        <v>42116</v>
      </c>
      <c r="T1238" s="34">
        <v>42118</v>
      </c>
      <c r="U1238" s="29">
        <v>566.60730000000001</v>
      </c>
      <c r="V1238" s="26">
        <v>8</v>
      </c>
      <c r="W1238" s="29">
        <v>821.17</v>
      </c>
      <c r="X1238" s="26">
        <v>89018</v>
      </c>
      <c r="Y1238" s="35">
        <v>47.87</v>
      </c>
      <c r="Z1238" s="1" t="s">
        <v>3014</v>
      </c>
      <c r="AA1238" s="36">
        <v>40.392000000000003</v>
      </c>
      <c r="AB1238" s="54">
        <v>492.70199999999994</v>
      </c>
      <c r="AC1238" s="54">
        <v>41.058500000000002</v>
      </c>
      <c r="AD1238" s="36">
        <v>206.99069999999995</v>
      </c>
    </row>
    <row r="1239" spans="1:30" s="37" customFormat="1" ht="15.75" customHeight="1" x14ac:dyDescent="0.2">
      <c r="A1239" s="26">
        <v>2760</v>
      </c>
      <c r="B1239" s="27" t="s">
        <v>2266</v>
      </c>
      <c r="C1239" s="27" t="s">
        <v>116</v>
      </c>
      <c r="D1239" s="28">
        <v>0.08</v>
      </c>
      <c r="E1239" s="29">
        <v>22.01</v>
      </c>
      <c r="F1239" s="29">
        <v>5.53</v>
      </c>
      <c r="G1239" s="30" t="s">
        <v>39</v>
      </c>
      <c r="H1239" s="27" t="s">
        <v>94</v>
      </c>
      <c r="I1239" s="27" t="s">
        <v>49</v>
      </c>
      <c r="J1239" s="27" t="s">
        <v>50</v>
      </c>
      <c r="K1239" s="27" t="s">
        <v>43</v>
      </c>
      <c r="L1239" s="31" t="s">
        <v>496</v>
      </c>
      <c r="M1239" s="32">
        <v>0.59</v>
      </c>
      <c r="N1239" s="27" t="s">
        <v>33</v>
      </c>
      <c r="O1239" s="27" t="s">
        <v>111</v>
      </c>
      <c r="P1239" s="27" t="s">
        <v>248</v>
      </c>
      <c r="Q1239" s="27" t="s">
        <v>2267</v>
      </c>
      <c r="R1239" s="33">
        <v>6708</v>
      </c>
      <c r="S1239" s="34">
        <v>42116</v>
      </c>
      <c r="T1239" s="34">
        <v>42118</v>
      </c>
      <c r="U1239" s="29">
        <v>105.7</v>
      </c>
      <c r="V1239" s="26">
        <v>11</v>
      </c>
      <c r="W1239" s="29">
        <v>241.97</v>
      </c>
      <c r="X1239" s="26">
        <v>90724</v>
      </c>
      <c r="Y1239" s="35">
        <v>4.5500000000000007</v>
      </c>
      <c r="Z1239" s="1" t="s">
        <v>3014</v>
      </c>
      <c r="AA1239" s="36">
        <v>19.3688</v>
      </c>
      <c r="AB1239" s="54">
        <v>99.207700000000003</v>
      </c>
      <c r="AC1239" s="54">
        <v>12.978390909090908</v>
      </c>
      <c r="AD1239" s="36">
        <v>111.37119999999999</v>
      </c>
    </row>
    <row r="1240" spans="1:30" s="37" customFormat="1" ht="15.75" customHeight="1" x14ac:dyDescent="0.2">
      <c r="A1240" s="26">
        <v>667</v>
      </c>
      <c r="B1240" s="27" t="s">
        <v>553</v>
      </c>
      <c r="C1240" s="27" t="s">
        <v>48</v>
      </c>
      <c r="D1240" s="28">
        <v>0.02</v>
      </c>
      <c r="E1240" s="29">
        <v>4.57</v>
      </c>
      <c r="F1240" s="29">
        <v>5.42</v>
      </c>
      <c r="G1240" s="30" t="s">
        <v>39</v>
      </c>
      <c r="H1240" s="27" t="s">
        <v>94</v>
      </c>
      <c r="I1240" s="27" t="s">
        <v>49</v>
      </c>
      <c r="J1240" s="27" t="s">
        <v>72</v>
      </c>
      <c r="K1240" s="27" t="s">
        <v>73</v>
      </c>
      <c r="L1240" s="31" t="s">
        <v>2261</v>
      </c>
      <c r="M1240" s="32">
        <v>0.37</v>
      </c>
      <c r="N1240" s="27" t="s">
        <v>33</v>
      </c>
      <c r="O1240" s="27" t="s">
        <v>53</v>
      </c>
      <c r="P1240" s="27" t="s">
        <v>187</v>
      </c>
      <c r="Q1240" s="27" t="s">
        <v>554</v>
      </c>
      <c r="R1240" s="33">
        <v>75203</v>
      </c>
      <c r="S1240" s="34">
        <v>42116</v>
      </c>
      <c r="T1240" s="34">
        <v>42120</v>
      </c>
      <c r="U1240" s="29">
        <v>-124.2805</v>
      </c>
      <c r="V1240" s="26">
        <v>45</v>
      </c>
      <c r="W1240" s="29">
        <v>221.06</v>
      </c>
      <c r="X1240" s="26">
        <v>48257</v>
      </c>
      <c r="Y1240" s="35">
        <v>4.5500000000000007</v>
      </c>
      <c r="Z1240" s="1" t="s">
        <v>3012</v>
      </c>
      <c r="AA1240" s="36">
        <v>4.1130000000000004</v>
      </c>
      <c r="AB1240" s="54">
        <v>139.26779999999999</v>
      </c>
      <c r="AC1240" s="54">
        <v>1.8176044444444446</v>
      </c>
      <c r="AD1240" s="36">
        <v>335.8075</v>
      </c>
    </row>
    <row r="1241" spans="1:30" s="37" customFormat="1" ht="15.75" customHeight="1" x14ac:dyDescent="0.2">
      <c r="A1241" s="26">
        <v>2764</v>
      </c>
      <c r="B1241" s="27" t="s">
        <v>2268</v>
      </c>
      <c r="C1241" s="27" t="s">
        <v>116</v>
      </c>
      <c r="D1241" s="28">
        <v>0.02</v>
      </c>
      <c r="E1241" s="29">
        <v>29.74</v>
      </c>
      <c r="F1241" s="29">
        <v>6.64</v>
      </c>
      <c r="G1241" s="30" t="s">
        <v>39</v>
      </c>
      <c r="H1241" s="27" t="s">
        <v>94</v>
      </c>
      <c r="I1241" s="27" t="s">
        <v>49</v>
      </c>
      <c r="J1241" s="27" t="s">
        <v>78</v>
      </c>
      <c r="K1241" s="27" t="s">
        <v>73</v>
      </c>
      <c r="L1241" s="31" t="s">
        <v>2269</v>
      </c>
      <c r="M1241" s="32">
        <v>0.7</v>
      </c>
      <c r="N1241" s="27" t="s">
        <v>33</v>
      </c>
      <c r="O1241" s="27" t="s">
        <v>111</v>
      </c>
      <c r="P1241" s="27" t="s">
        <v>397</v>
      </c>
      <c r="Q1241" s="27" t="s">
        <v>2005</v>
      </c>
      <c r="R1241" s="33">
        <v>7601</v>
      </c>
      <c r="S1241" s="34">
        <v>42116</v>
      </c>
      <c r="T1241" s="34">
        <v>42116</v>
      </c>
      <c r="U1241" s="29">
        <v>-21.06</v>
      </c>
      <c r="V1241" s="26">
        <v>4</v>
      </c>
      <c r="W1241" s="29">
        <v>120.81</v>
      </c>
      <c r="X1241" s="26">
        <v>90724</v>
      </c>
      <c r="Y1241" s="35">
        <v>5.3599999999999994</v>
      </c>
      <c r="Z1241" s="1" t="s">
        <v>3014</v>
      </c>
      <c r="AA1241" s="36">
        <v>2.3792</v>
      </c>
      <c r="AB1241" s="54">
        <v>36.243000000000009</v>
      </c>
      <c r="AC1241" s="54">
        <v>21.141749999999998</v>
      </c>
      <c r="AD1241" s="36">
        <v>132.85079999999999</v>
      </c>
    </row>
    <row r="1242" spans="1:30" s="37" customFormat="1" ht="15.75" customHeight="1" x14ac:dyDescent="0.2">
      <c r="A1242" s="26">
        <v>678</v>
      </c>
      <c r="B1242" s="27" t="s">
        <v>2264</v>
      </c>
      <c r="C1242" s="27" t="s">
        <v>116</v>
      </c>
      <c r="D1242" s="28">
        <v>0.04</v>
      </c>
      <c r="E1242" s="29">
        <v>15.42</v>
      </c>
      <c r="F1242" s="29">
        <v>10.68</v>
      </c>
      <c r="G1242" s="30" t="s">
        <v>87</v>
      </c>
      <c r="H1242" s="27" t="s">
        <v>94</v>
      </c>
      <c r="I1242" s="27" t="s">
        <v>49</v>
      </c>
      <c r="J1242" s="27" t="s">
        <v>78</v>
      </c>
      <c r="K1242" s="27" t="s">
        <v>73</v>
      </c>
      <c r="L1242" s="31" t="s">
        <v>2265</v>
      </c>
      <c r="M1242" s="32">
        <v>0.57999999999999996</v>
      </c>
      <c r="N1242" s="27" t="s">
        <v>33</v>
      </c>
      <c r="O1242" s="27" t="s">
        <v>34</v>
      </c>
      <c r="P1242" s="27" t="s">
        <v>242</v>
      </c>
      <c r="Q1242" s="27" t="s">
        <v>2243</v>
      </c>
      <c r="R1242" s="33">
        <v>24281</v>
      </c>
      <c r="S1242" s="34">
        <v>42116</v>
      </c>
      <c r="T1242" s="34">
        <v>42117</v>
      </c>
      <c r="U1242" s="29">
        <v>-109.70399999999999</v>
      </c>
      <c r="V1242" s="26">
        <v>5</v>
      </c>
      <c r="W1242" s="29">
        <v>81.14</v>
      </c>
      <c r="X1242" s="26">
        <v>88889</v>
      </c>
      <c r="Y1242" s="35">
        <v>15.38</v>
      </c>
      <c r="Z1242" s="1" t="s">
        <v>3011</v>
      </c>
      <c r="AA1242" s="36">
        <v>3.0840000000000001</v>
      </c>
      <c r="AB1242" s="54">
        <v>34.078800000000001</v>
      </c>
      <c r="AC1242" s="54">
        <v>9.4122400000000006</v>
      </c>
      <c r="AD1242" s="36">
        <v>177.07999999999998</v>
      </c>
    </row>
    <row r="1243" spans="1:30" s="37" customFormat="1" ht="15.75" customHeight="1" x14ac:dyDescent="0.2">
      <c r="A1243" s="26">
        <v>2932</v>
      </c>
      <c r="B1243" s="27" t="s">
        <v>2256</v>
      </c>
      <c r="C1243" s="27" t="s">
        <v>38</v>
      </c>
      <c r="D1243" s="28">
        <v>0.01</v>
      </c>
      <c r="E1243" s="29">
        <v>35.44</v>
      </c>
      <c r="F1243" s="29">
        <v>19.989999999999998</v>
      </c>
      <c r="G1243" s="30" t="s">
        <v>39</v>
      </c>
      <c r="H1243" s="27" t="s">
        <v>3095</v>
      </c>
      <c r="I1243" s="27" t="s">
        <v>49</v>
      </c>
      <c r="J1243" s="27" t="s">
        <v>88</v>
      </c>
      <c r="K1243" s="27" t="s">
        <v>73</v>
      </c>
      <c r="L1243" s="31" t="s">
        <v>2257</v>
      </c>
      <c r="M1243" s="32">
        <v>0.38</v>
      </c>
      <c r="N1243" s="27" t="s">
        <v>33</v>
      </c>
      <c r="O1243" s="27" t="s">
        <v>111</v>
      </c>
      <c r="P1243" s="27" t="s">
        <v>248</v>
      </c>
      <c r="Q1243" s="27" t="s">
        <v>1655</v>
      </c>
      <c r="R1243" s="33">
        <v>6614</v>
      </c>
      <c r="S1243" s="34">
        <v>42116</v>
      </c>
      <c r="T1243" s="34">
        <v>42117</v>
      </c>
      <c r="U1243" s="29">
        <v>-52.822800000000001</v>
      </c>
      <c r="V1243" s="26">
        <v>1</v>
      </c>
      <c r="W1243" s="29">
        <v>55.43</v>
      </c>
      <c r="X1243" s="26">
        <v>87620</v>
      </c>
      <c r="Y1243" s="35">
        <v>21.930000000000003</v>
      </c>
      <c r="Z1243" s="1" t="s">
        <v>3014</v>
      </c>
      <c r="AA1243" s="36">
        <v>0.35439999999999999</v>
      </c>
      <c r="AB1243" s="54">
        <v>34.366599999999998</v>
      </c>
      <c r="AC1243" s="54">
        <v>21.063400000000001</v>
      </c>
      <c r="AD1243" s="36">
        <v>87.9084</v>
      </c>
    </row>
    <row r="1244" spans="1:30" s="37" customFormat="1" ht="15.75" customHeight="1" x14ac:dyDescent="0.2">
      <c r="A1244" s="26">
        <v>666</v>
      </c>
      <c r="B1244" s="27" t="s">
        <v>2260</v>
      </c>
      <c r="C1244" s="27" t="s">
        <v>48</v>
      </c>
      <c r="D1244" s="28">
        <v>0.02</v>
      </c>
      <c r="E1244" s="29">
        <v>4.57</v>
      </c>
      <c r="F1244" s="29">
        <v>5.42</v>
      </c>
      <c r="G1244" s="30" t="s">
        <v>39</v>
      </c>
      <c r="H1244" s="27" t="s">
        <v>94</v>
      </c>
      <c r="I1244" s="27" t="s">
        <v>49</v>
      </c>
      <c r="J1244" s="27" t="s">
        <v>72</v>
      </c>
      <c r="K1244" s="27" t="s">
        <v>73</v>
      </c>
      <c r="L1244" s="31" t="s">
        <v>2261</v>
      </c>
      <c r="M1244" s="32">
        <v>0.37</v>
      </c>
      <c r="N1244" s="27" t="s">
        <v>33</v>
      </c>
      <c r="O1244" s="27" t="s">
        <v>34</v>
      </c>
      <c r="P1244" s="27" t="s">
        <v>400</v>
      </c>
      <c r="Q1244" s="27" t="s">
        <v>2262</v>
      </c>
      <c r="R1244" s="33">
        <v>37211</v>
      </c>
      <c r="S1244" s="34">
        <v>42116</v>
      </c>
      <c r="T1244" s="34">
        <v>42120</v>
      </c>
      <c r="U1244" s="29">
        <v>-352.81400000000002</v>
      </c>
      <c r="V1244" s="26">
        <v>11</v>
      </c>
      <c r="W1244" s="29">
        <v>54.04</v>
      </c>
      <c r="X1244" s="26">
        <v>88679</v>
      </c>
      <c r="Y1244" s="35">
        <v>29.72</v>
      </c>
      <c r="Z1244" s="1" t="s">
        <v>3011</v>
      </c>
      <c r="AA1244" s="36">
        <v>1.0054000000000001</v>
      </c>
      <c r="AB1244" s="54">
        <v>34.045200000000001</v>
      </c>
      <c r="AC1244" s="54">
        <v>1.8177090909090909</v>
      </c>
      <c r="AD1244" s="36">
        <v>400.42860000000002</v>
      </c>
    </row>
    <row r="1245" spans="1:30" s="37" customFormat="1" ht="15.75" customHeight="1" x14ac:dyDescent="0.2">
      <c r="A1245" s="26">
        <v>1777</v>
      </c>
      <c r="B1245" s="27" t="s">
        <v>172</v>
      </c>
      <c r="C1245" s="27" t="s">
        <v>48</v>
      </c>
      <c r="D1245" s="28">
        <v>7.0000000000000007E-2</v>
      </c>
      <c r="E1245" s="29">
        <v>5.43</v>
      </c>
      <c r="F1245" s="29">
        <v>0.95</v>
      </c>
      <c r="G1245" s="30" t="s">
        <v>39</v>
      </c>
      <c r="H1245" s="27" t="s">
        <v>40</v>
      </c>
      <c r="I1245" s="27" t="s">
        <v>49</v>
      </c>
      <c r="J1245" s="27" t="s">
        <v>88</v>
      </c>
      <c r="K1245" s="27" t="s">
        <v>51</v>
      </c>
      <c r="L1245" s="31" t="s">
        <v>2263</v>
      </c>
      <c r="M1245" s="32">
        <v>0.36</v>
      </c>
      <c r="N1245" s="27" t="s">
        <v>33</v>
      </c>
      <c r="O1245" s="27" t="s">
        <v>53</v>
      </c>
      <c r="P1245" s="27" t="s">
        <v>54</v>
      </c>
      <c r="Q1245" s="27" t="s">
        <v>174</v>
      </c>
      <c r="R1245" s="33">
        <v>46383</v>
      </c>
      <c r="S1245" s="34">
        <v>42116</v>
      </c>
      <c r="T1245" s="34">
        <v>42120</v>
      </c>
      <c r="U1245" s="29">
        <v>26.5029</v>
      </c>
      <c r="V1245" s="26">
        <v>7</v>
      </c>
      <c r="W1245" s="29">
        <v>38.409999999999997</v>
      </c>
      <c r="X1245" s="26">
        <v>89939</v>
      </c>
      <c r="Y1245" s="35">
        <v>100.93</v>
      </c>
      <c r="Z1245" s="1" t="s">
        <v>3012</v>
      </c>
      <c r="AA1245" s="36">
        <v>2.6606999999999998</v>
      </c>
      <c r="AB1245" s="54">
        <v>24.5824</v>
      </c>
      <c r="AC1245" s="54">
        <v>1.9753714285714283</v>
      </c>
      <c r="AD1245" s="36">
        <v>8.2963999999999984</v>
      </c>
    </row>
    <row r="1246" spans="1:30" s="37" customFormat="1" ht="15.75" customHeight="1" x14ac:dyDescent="0.2">
      <c r="A1246" s="26">
        <v>483</v>
      </c>
      <c r="B1246" s="27" t="s">
        <v>815</v>
      </c>
      <c r="C1246" s="27" t="s">
        <v>3094</v>
      </c>
      <c r="D1246" s="28">
        <v>7.0000000000000007E-2</v>
      </c>
      <c r="E1246" s="29">
        <v>699.99</v>
      </c>
      <c r="F1246" s="29">
        <v>24.49</v>
      </c>
      <c r="G1246" s="30" t="s">
        <v>39</v>
      </c>
      <c r="H1246" s="27" t="s">
        <v>94</v>
      </c>
      <c r="I1246" s="27" t="s">
        <v>41</v>
      </c>
      <c r="J1246" s="27" t="s">
        <v>64</v>
      </c>
      <c r="K1246" s="27" t="s">
        <v>65</v>
      </c>
      <c r="L1246" s="31" t="s">
        <v>313</v>
      </c>
      <c r="M1246" s="32">
        <v>0.41</v>
      </c>
      <c r="N1246" s="27" t="s">
        <v>33</v>
      </c>
      <c r="O1246" s="27" t="s">
        <v>53</v>
      </c>
      <c r="P1246" s="27" t="s">
        <v>103</v>
      </c>
      <c r="Q1246" s="27" t="s">
        <v>817</v>
      </c>
      <c r="R1246" s="33">
        <v>60543</v>
      </c>
      <c r="S1246" s="34">
        <v>42117</v>
      </c>
      <c r="T1246" s="34">
        <v>42119</v>
      </c>
      <c r="U1246" s="29">
        <v>2583.5614799999998</v>
      </c>
      <c r="V1246" s="26">
        <v>9</v>
      </c>
      <c r="W1246" s="29">
        <v>5976.09</v>
      </c>
      <c r="X1246" s="26">
        <v>90354</v>
      </c>
      <c r="Y1246" s="35">
        <v>2.81</v>
      </c>
      <c r="Z1246" s="1" t="s">
        <v>3012</v>
      </c>
      <c r="AA1246" s="36">
        <v>440.99370000000005</v>
      </c>
      <c r="AB1246" s="54">
        <v>3525.8931000000007</v>
      </c>
      <c r="AC1246" s="54">
        <v>272.2441</v>
      </c>
      <c r="AD1246" s="36">
        <v>2927.0448200000005</v>
      </c>
    </row>
    <row r="1247" spans="1:30" s="37" customFormat="1" ht="15.75" customHeight="1" x14ac:dyDescent="0.2">
      <c r="A1247" s="26">
        <v>1253</v>
      </c>
      <c r="B1247" s="27" t="s">
        <v>2272</v>
      </c>
      <c r="C1247" s="27" t="s">
        <v>48</v>
      </c>
      <c r="D1247" s="28">
        <v>0.1</v>
      </c>
      <c r="E1247" s="29">
        <v>212.6</v>
      </c>
      <c r="F1247" s="29">
        <v>110.2</v>
      </c>
      <c r="G1247" s="30" t="s">
        <v>27</v>
      </c>
      <c r="H1247" s="27" t="s">
        <v>71</v>
      </c>
      <c r="I1247" s="27" t="s">
        <v>29</v>
      </c>
      <c r="J1247" s="27" t="s">
        <v>30</v>
      </c>
      <c r="K1247" s="27" t="s">
        <v>31</v>
      </c>
      <c r="L1247" s="31" t="s">
        <v>163</v>
      </c>
      <c r="M1247" s="32">
        <v>0.73</v>
      </c>
      <c r="N1247" s="27" t="s">
        <v>33</v>
      </c>
      <c r="O1247" s="27" t="s">
        <v>53</v>
      </c>
      <c r="P1247" s="27" t="s">
        <v>187</v>
      </c>
      <c r="Q1247" s="27" t="s">
        <v>2273</v>
      </c>
      <c r="R1247" s="33">
        <v>78613</v>
      </c>
      <c r="S1247" s="34">
        <v>42117</v>
      </c>
      <c r="T1247" s="34">
        <v>42119</v>
      </c>
      <c r="U1247" s="29">
        <v>-3465.0720000000001</v>
      </c>
      <c r="V1247" s="26">
        <v>12</v>
      </c>
      <c r="W1247" s="29">
        <v>2346.0300000000002</v>
      </c>
      <c r="X1247" s="26">
        <v>89981</v>
      </c>
      <c r="Y1247" s="35">
        <v>46.87</v>
      </c>
      <c r="Z1247" s="1" t="s">
        <v>3012</v>
      </c>
      <c r="AA1247" s="36">
        <v>255.12</v>
      </c>
      <c r="AB1247" s="54">
        <v>633.42810000000009</v>
      </c>
      <c r="AC1247" s="54">
        <v>142.71682500000003</v>
      </c>
      <c r="AD1247" s="36">
        <v>5445.7820000000011</v>
      </c>
    </row>
    <row r="1248" spans="1:30" s="37" customFormat="1" ht="15.75" customHeight="1" x14ac:dyDescent="0.2">
      <c r="A1248" s="26">
        <v>146</v>
      </c>
      <c r="B1248" s="27" t="s">
        <v>1600</v>
      </c>
      <c r="C1248" s="27" t="s">
        <v>116</v>
      </c>
      <c r="D1248" s="28">
        <v>0.06</v>
      </c>
      <c r="E1248" s="29">
        <v>180.98</v>
      </c>
      <c r="F1248" s="29">
        <v>26.2</v>
      </c>
      <c r="G1248" s="30" t="s">
        <v>27</v>
      </c>
      <c r="H1248" s="27" t="s">
        <v>94</v>
      </c>
      <c r="I1248" s="27" t="s">
        <v>29</v>
      </c>
      <c r="J1248" s="27" t="s">
        <v>109</v>
      </c>
      <c r="K1248" s="27" t="s">
        <v>58</v>
      </c>
      <c r="L1248" s="31" t="s">
        <v>2274</v>
      </c>
      <c r="M1248" s="32">
        <v>0.59</v>
      </c>
      <c r="N1248" s="27" t="s">
        <v>33</v>
      </c>
      <c r="O1248" s="27" t="s">
        <v>53</v>
      </c>
      <c r="P1248" s="27" t="s">
        <v>187</v>
      </c>
      <c r="Q1248" s="27" t="s">
        <v>1602</v>
      </c>
      <c r="R1248" s="33">
        <v>76148</v>
      </c>
      <c r="S1248" s="34">
        <v>42117</v>
      </c>
      <c r="T1248" s="34">
        <v>42118</v>
      </c>
      <c r="U1248" s="29">
        <v>251.4084</v>
      </c>
      <c r="V1248" s="26">
        <v>5</v>
      </c>
      <c r="W1248" s="29">
        <v>929.57</v>
      </c>
      <c r="X1248" s="26">
        <v>91090</v>
      </c>
      <c r="Y1248" s="35">
        <v>140.92999999999998</v>
      </c>
      <c r="Z1248" s="1" t="s">
        <v>3012</v>
      </c>
      <c r="AA1248" s="36">
        <v>54.293999999999997</v>
      </c>
      <c r="AB1248" s="54">
        <v>381.12370000000004</v>
      </c>
      <c r="AC1248" s="54">
        <v>109.68926</v>
      </c>
      <c r="AD1248" s="36">
        <v>597.66759999999999</v>
      </c>
    </row>
    <row r="1249" spans="1:30" s="37" customFormat="1" ht="15.75" customHeight="1" x14ac:dyDescent="0.2">
      <c r="A1249" s="26">
        <v>1253</v>
      </c>
      <c r="B1249" s="27" t="s">
        <v>2272</v>
      </c>
      <c r="C1249" s="27" t="s">
        <v>48</v>
      </c>
      <c r="D1249" s="28">
        <v>0.05</v>
      </c>
      <c r="E1249" s="29">
        <v>140.97999999999999</v>
      </c>
      <c r="F1249" s="29">
        <v>36.090000000000003</v>
      </c>
      <c r="G1249" s="30" t="s">
        <v>27</v>
      </c>
      <c r="H1249" s="27" t="s">
        <v>71</v>
      </c>
      <c r="I1249" s="27" t="s">
        <v>29</v>
      </c>
      <c r="J1249" s="27" t="s">
        <v>117</v>
      </c>
      <c r="K1249" s="27" t="s">
        <v>31</v>
      </c>
      <c r="L1249" s="31" t="s">
        <v>1862</v>
      </c>
      <c r="M1249" s="32">
        <v>0.77</v>
      </c>
      <c r="N1249" s="27" t="s">
        <v>33</v>
      </c>
      <c r="O1249" s="27" t="s">
        <v>53</v>
      </c>
      <c r="P1249" s="27" t="s">
        <v>187</v>
      </c>
      <c r="Q1249" s="27" t="s">
        <v>2273</v>
      </c>
      <c r="R1249" s="33">
        <v>78613</v>
      </c>
      <c r="S1249" s="34">
        <v>42117</v>
      </c>
      <c r="T1249" s="34">
        <v>42119</v>
      </c>
      <c r="U1249" s="29">
        <v>-373.09</v>
      </c>
      <c r="V1249" s="26">
        <v>5</v>
      </c>
      <c r="W1249" s="29">
        <v>699.24</v>
      </c>
      <c r="X1249" s="26">
        <v>89981</v>
      </c>
      <c r="Y1249" s="35">
        <v>212.5</v>
      </c>
      <c r="Z1249" s="1" t="s">
        <v>3012</v>
      </c>
      <c r="AA1249" s="36">
        <v>35.244999999999997</v>
      </c>
      <c r="AB1249" s="54">
        <v>160.8252</v>
      </c>
      <c r="AC1249" s="54">
        <v>107.68296000000001</v>
      </c>
      <c r="AD1249" s="36">
        <v>1000.995</v>
      </c>
    </row>
    <row r="1250" spans="1:30" s="37" customFormat="1" ht="15.75" customHeight="1" x14ac:dyDescent="0.2">
      <c r="A1250" s="26">
        <v>1253</v>
      </c>
      <c r="B1250" s="27" t="s">
        <v>2272</v>
      </c>
      <c r="C1250" s="27" t="s">
        <v>48</v>
      </c>
      <c r="D1250" s="28">
        <v>0.02</v>
      </c>
      <c r="E1250" s="29">
        <v>46.89</v>
      </c>
      <c r="F1250" s="29">
        <v>5.0999999999999996</v>
      </c>
      <c r="G1250" s="30" t="s">
        <v>39</v>
      </c>
      <c r="H1250" s="27" t="s">
        <v>71</v>
      </c>
      <c r="I1250" s="27" t="s">
        <v>49</v>
      </c>
      <c r="J1250" s="27" t="s">
        <v>95</v>
      </c>
      <c r="K1250" s="27" t="s">
        <v>144</v>
      </c>
      <c r="L1250" s="31" t="s">
        <v>1843</v>
      </c>
      <c r="M1250" s="32">
        <v>0.46</v>
      </c>
      <c r="N1250" s="27" t="s">
        <v>33</v>
      </c>
      <c r="O1250" s="27" t="s">
        <v>53</v>
      </c>
      <c r="P1250" s="27" t="s">
        <v>187</v>
      </c>
      <c r="Q1250" s="27" t="s">
        <v>2273</v>
      </c>
      <c r="R1250" s="33">
        <v>78613</v>
      </c>
      <c r="S1250" s="34">
        <v>42117</v>
      </c>
      <c r="T1250" s="34">
        <v>42117</v>
      </c>
      <c r="U1250" s="29">
        <v>421.3485</v>
      </c>
      <c r="V1250" s="26">
        <v>13</v>
      </c>
      <c r="W1250" s="29">
        <v>610.65</v>
      </c>
      <c r="X1250" s="26">
        <v>89981</v>
      </c>
      <c r="Y1250" s="35">
        <v>180.92</v>
      </c>
      <c r="Z1250" s="1" t="s">
        <v>3012</v>
      </c>
      <c r="AA1250" s="36">
        <v>12.191400000000002</v>
      </c>
      <c r="AB1250" s="54">
        <v>329.75100000000003</v>
      </c>
      <c r="AC1250" s="54">
        <v>21.607615384615386</v>
      </c>
      <c r="AD1250" s="36">
        <v>172.01009999999997</v>
      </c>
    </row>
    <row r="1251" spans="1:30" s="37" customFormat="1" ht="15.75" customHeight="1" x14ac:dyDescent="0.2">
      <c r="A1251" s="26">
        <v>699</v>
      </c>
      <c r="B1251" s="27" t="s">
        <v>861</v>
      </c>
      <c r="C1251" s="27" t="s">
        <v>116</v>
      </c>
      <c r="D1251" s="28">
        <v>0.03</v>
      </c>
      <c r="E1251" s="29">
        <v>5.28</v>
      </c>
      <c r="F1251" s="29">
        <v>5.61</v>
      </c>
      <c r="G1251" s="30" t="s">
        <v>39</v>
      </c>
      <c r="H1251" s="27" t="s">
        <v>40</v>
      </c>
      <c r="I1251" s="27" t="s">
        <v>49</v>
      </c>
      <c r="J1251" s="27" t="s">
        <v>88</v>
      </c>
      <c r="K1251" s="27" t="s">
        <v>73</v>
      </c>
      <c r="L1251" s="31" t="s">
        <v>2275</v>
      </c>
      <c r="M1251" s="32">
        <v>0.4</v>
      </c>
      <c r="N1251" s="27" t="s">
        <v>33</v>
      </c>
      <c r="O1251" s="27" t="s">
        <v>60</v>
      </c>
      <c r="P1251" s="27" t="s">
        <v>90</v>
      </c>
      <c r="Q1251" s="27" t="s">
        <v>100</v>
      </c>
      <c r="R1251" s="33">
        <v>90041</v>
      </c>
      <c r="S1251" s="34">
        <v>42117</v>
      </c>
      <c r="T1251" s="34">
        <v>42118</v>
      </c>
      <c r="U1251" s="29">
        <v>-16.670000000000002</v>
      </c>
      <c r="V1251" s="26">
        <v>5</v>
      </c>
      <c r="W1251" s="29">
        <v>32.5</v>
      </c>
      <c r="X1251" s="26">
        <v>44517</v>
      </c>
      <c r="Y1251" s="35">
        <v>5.25</v>
      </c>
      <c r="Z1251" s="1" t="s">
        <v>3013</v>
      </c>
      <c r="AA1251" s="36">
        <v>0.79200000000000004</v>
      </c>
      <c r="AB1251" s="54">
        <v>19.5</v>
      </c>
      <c r="AC1251" s="54">
        <v>2.6</v>
      </c>
      <c r="AD1251" s="36">
        <v>42.768000000000001</v>
      </c>
    </row>
    <row r="1252" spans="1:30" s="37" customFormat="1" ht="15.75" customHeight="1" x14ac:dyDescent="0.2">
      <c r="A1252" s="26">
        <v>483</v>
      </c>
      <c r="B1252" s="27" t="s">
        <v>815</v>
      </c>
      <c r="C1252" s="27" t="s">
        <v>3094</v>
      </c>
      <c r="D1252" s="28">
        <v>0.06</v>
      </c>
      <c r="E1252" s="29">
        <v>3.36</v>
      </c>
      <c r="F1252" s="29">
        <v>6.27</v>
      </c>
      <c r="G1252" s="30" t="s">
        <v>39</v>
      </c>
      <c r="H1252" s="27" t="s">
        <v>94</v>
      </c>
      <c r="I1252" s="27" t="s">
        <v>49</v>
      </c>
      <c r="J1252" s="27" t="s">
        <v>72</v>
      </c>
      <c r="K1252" s="27" t="s">
        <v>73</v>
      </c>
      <c r="L1252" s="31" t="s">
        <v>186</v>
      </c>
      <c r="M1252" s="32">
        <v>0.4</v>
      </c>
      <c r="N1252" s="27" t="s">
        <v>33</v>
      </c>
      <c r="O1252" s="27" t="s">
        <v>53</v>
      </c>
      <c r="P1252" s="27" t="s">
        <v>103</v>
      </c>
      <c r="Q1252" s="27" t="s">
        <v>817</v>
      </c>
      <c r="R1252" s="33">
        <v>60543</v>
      </c>
      <c r="S1252" s="34">
        <v>42117</v>
      </c>
      <c r="T1252" s="34">
        <v>42118</v>
      </c>
      <c r="U1252" s="29">
        <v>-24.057539999999999</v>
      </c>
      <c r="V1252" s="26">
        <v>2</v>
      </c>
      <c r="W1252" s="29">
        <v>8.82</v>
      </c>
      <c r="X1252" s="26">
        <v>90354</v>
      </c>
      <c r="Y1252" s="35">
        <v>5.25</v>
      </c>
      <c r="Z1252" s="1" t="s">
        <v>3012</v>
      </c>
      <c r="AA1252" s="36">
        <v>0.40319999999999995</v>
      </c>
      <c r="AB1252" s="54">
        <v>5.2919999999999998</v>
      </c>
      <c r="AC1252" s="54">
        <v>1.7640000000000002</v>
      </c>
      <c r="AD1252" s="36">
        <v>26.204340000000002</v>
      </c>
    </row>
    <row r="1253" spans="1:30" s="37" customFormat="1" ht="15.75" customHeight="1" x14ac:dyDescent="0.2">
      <c r="A1253" s="26">
        <v>1304</v>
      </c>
      <c r="B1253" s="27" t="s">
        <v>2278</v>
      </c>
      <c r="C1253" s="27" t="s">
        <v>116</v>
      </c>
      <c r="D1253" s="28">
        <v>0.08</v>
      </c>
      <c r="E1253" s="29">
        <v>2.88</v>
      </c>
      <c r="F1253" s="29">
        <v>0.5</v>
      </c>
      <c r="G1253" s="30" t="s">
        <v>39</v>
      </c>
      <c r="H1253" s="27" t="s">
        <v>40</v>
      </c>
      <c r="I1253" s="27" t="s">
        <v>49</v>
      </c>
      <c r="J1253" s="27" t="s">
        <v>152</v>
      </c>
      <c r="K1253" s="27" t="s">
        <v>73</v>
      </c>
      <c r="L1253" s="31" t="s">
        <v>2279</v>
      </c>
      <c r="M1253" s="32">
        <v>0.39</v>
      </c>
      <c r="N1253" s="27" t="s">
        <v>33</v>
      </c>
      <c r="O1253" s="27" t="s">
        <v>60</v>
      </c>
      <c r="P1253" s="27" t="s">
        <v>146</v>
      </c>
      <c r="Q1253" s="27" t="s">
        <v>2280</v>
      </c>
      <c r="R1253" s="33">
        <v>84084</v>
      </c>
      <c r="S1253" s="34">
        <v>42117</v>
      </c>
      <c r="T1253" s="34">
        <v>42118</v>
      </c>
      <c r="U1253" s="29">
        <v>6.0305999999999997</v>
      </c>
      <c r="V1253" s="26">
        <v>3</v>
      </c>
      <c r="W1253" s="29">
        <v>8.74</v>
      </c>
      <c r="X1253" s="26">
        <v>87004</v>
      </c>
      <c r="Y1253" s="35">
        <v>2.8</v>
      </c>
      <c r="Z1253" s="1" t="s">
        <v>3013</v>
      </c>
      <c r="AA1253" s="36">
        <v>0.69120000000000004</v>
      </c>
      <c r="AB1253" s="54">
        <v>5.3314000000000004</v>
      </c>
      <c r="AC1253" s="54">
        <v>1.1362000000000001</v>
      </c>
      <c r="AD1253" s="36">
        <v>1.5182000000000002</v>
      </c>
    </row>
    <row r="1254" spans="1:30" s="37" customFormat="1" ht="15.75" customHeight="1" x14ac:dyDescent="0.2">
      <c r="A1254" s="26">
        <v>702</v>
      </c>
      <c r="B1254" s="27" t="s">
        <v>2276</v>
      </c>
      <c r="C1254" s="27" t="s">
        <v>116</v>
      </c>
      <c r="D1254" s="28">
        <v>0.03</v>
      </c>
      <c r="E1254" s="29">
        <v>5.28</v>
      </c>
      <c r="F1254" s="29">
        <v>5.61</v>
      </c>
      <c r="G1254" s="30" t="s">
        <v>39</v>
      </c>
      <c r="H1254" s="27" t="s">
        <v>40</v>
      </c>
      <c r="I1254" s="27" t="s">
        <v>49</v>
      </c>
      <c r="J1254" s="27" t="s">
        <v>88</v>
      </c>
      <c r="K1254" s="27" t="s">
        <v>73</v>
      </c>
      <c r="L1254" s="31" t="s">
        <v>2275</v>
      </c>
      <c r="M1254" s="32">
        <v>0.4</v>
      </c>
      <c r="N1254" s="27" t="s">
        <v>33</v>
      </c>
      <c r="O1254" s="27" t="s">
        <v>60</v>
      </c>
      <c r="P1254" s="27" t="s">
        <v>90</v>
      </c>
      <c r="Q1254" s="27" t="s">
        <v>2277</v>
      </c>
      <c r="R1254" s="33">
        <v>95404</v>
      </c>
      <c r="S1254" s="34">
        <v>42117</v>
      </c>
      <c r="T1254" s="34">
        <v>42118</v>
      </c>
      <c r="U1254" s="29">
        <v>-16.670000000000002</v>
      </c>
      <c r="V1254" s="26">
        <v>1</v>
      </c>
      <c r="W1254" s="29">
        <v>6.5</v>
      </c>
      <c r="X1254" s="26">
        <v>87977</v>
      </c>
      <c r="Y1254" s="35">
        <v>3.3</v>
      </c>
      <c r="Z1254" s="1" t="s">
        <v>3013</v>
      </c>
      <c r="AA1254" s="36">
        <v>0.15840000000000001</v>
      </c>
      <c r="AB1254" s="54">
        <v>3.9</v>
      </c>
      <c r="AC1254" s="54">
        <v>2.6</v>
      </c>
      <c r="AD1254" s="36">
        <v>17.401600000000002</v>
      </c>
    </row>
    <row r="1255" spans="1:30" s="37" customFormat="1" ht="15.75" customHeight="1" x14ac:dyDescent="0.2">
      <c r="A1255" s="26">
        <v>2114</v>
      </c>
      <c r="B1255" s="27" t="s">
        <v>1375</v>
      </c>
      <c r="C1255" s="27" t="s">
        <v>26</v>
      </c>
      <c r="D1255" s="28">
        <v>0.08</v>
      </c>
      <c r="E1255" s="29">
        <v>2.89</v>
      </c>
      <c r="F1255" s="29">
        <v>0.49</v>
      </c>
      <c r="G1255" s="30" t="s">
        <v>39</v>
      </c>
      <c r="H1255" s="27" t="s">
        <v>94</v>
      </c>
      <c r="I1255" s="27" t="s">
        <v>49</v>
      </c>
      <c r="J1255" s="27" t="s">
        <v>152</v>
      </c>
      <c r="K1255" s="27" t="s">
        <v>73</v>
      </c>
      <c r="L1255" s="31" t="s">
        <v>2271</v>
      </c>
      <c r="M1255" s="32">
        <v>0.38</v>
      </c>
      <c r="N1255" s="27" t="s">
        <v>33</v>
      </c>
      <c r="O1255" s="27" t="s">
        <v>34</v>
      </c>
      <c r="P1255" s="27" t="s">
        <v>242</v>
      </c>
      <c r="Q1255" s="27" t="s">
        <v>1377</v>
      </c>
      <c r="R1255" s="33">
        <v>23518</v>
      </c>
      <c r="S1255" s="34">
        <v>42117</v>
      </c>
      <c r="T1255" s="34">
        <v>42117</v>
      </c>
      <c r="U1255" s="29">
        <v>38.405999999999999</v>
      </c>
      <c r="V1255" s="26">
        <v>1</v>
      </c>
      <c r="W1255" s="29">
        <v>3.07</v>
      </c>
      <c r="X1255" s="26">
        <v>88404</v>
      </c>
      <c r="Y1255" s="35">
        <v>699.92</v>
      </c>
      <c r="Z1255" s="1" t="s">
        <v>3011</v>
      </c>
      <c r="AA1255" s="36">
        <v>0.23120000000000002</v>
      </c>
      <c r="AB1255" s="54">
        <v>1.9034</v>
      </c>
      <c r="AC1255" s="54">
        <v>1.1665999999999999</v>
      </c>
      <c r="AD1255" s="36">
        <v>-36.057200000000002</v>
      </c>
    </row>
    <row r="1256" spans="1:30" s="37" customFormat="1" ht="15.75" customHeight="1" x14ac:dyDescent="0.2">
      <c r="A1256" s="26">
        <v>1670</v>
      </c>
      <c r="B1256" s="27" t="s">
        <v>2290</v>
      </c>
      <c r="C1256" s="27" t="s">
        <v>48</v>
      </c>
      <c r="D1256" s="28">
        <v>0</v>
      </c>
      <c r="E1256" s="29">
        <v>142.86000000000001</v>
      </c>
      <c r="F1256" s="29">
        <v>19.989999999999998</v>
      </c>
      <c r="G1256" s="30" t="s">
        <v>39</v>
      </c>
      <c r="H1256" s="27" t="s">
        <v>3095</v>
      </c>
      <c r="I1256" s="27" t="s">
        <v>49</v>
      </c>
      <c r="J1256" s="27" t="s">
        <v>78</v>
      </c>
      <c r="K1256" s="27" t="s">
        <v>73</v>
      </c>
      <c r="L1256" s="31" t="s">
        <v>1956</v>
      </c>
      <c r="M1256" s="32">
        <v>0.56000000000000005</v>
      </c>
      <c r="N1256" s="27" t="s">
        <v>33</v>
      </c>
      <c r="O1256" s="27" t="s">
        <v>34</v>
      </c>
      <c r="P1256" s="27" t="s">
        <v>242</v>
      </c>
      <c r="Q1256" s="27" t="s">
        <v>2173</v>
      </c>
      <c r="R1256" s="33">
        <v>24060</v>
      </c>
      <c r="S1256" s="34">
        <v>42118</v>
      </c>
      <c r="T1256" s="34">
        <v>42127</v>
      </c>
      <c r="U1256" s="29">
        <v>-739.32600000000002</v>
      </c>
      <c r="V1256" s="26">
        <v>11</v>
      </c>
      <c r="W1256" s="29">
        <v>1576.35</v>
      </c>
      <c r="X1256" s="26">
        <v>86722</v>
      </c>
      <c r="Y1256" s="35">
        <v>2.48</v>
      </c>
      <c r="Z1256" s="1" t="s">
        <v>3011</v>
      </c>
      <c r="AA1256" s="36">
        <v>0</v>
      </c>
      <c r="AB1256" s="54">
        <v>693.59399999999982</v>
      </c>
      <c r="AC1256" s="54">
        <v>80.250545454545446</v>
      </c>
      <c r="AD1256" s="36">
        <v>2295.6859999999997</v>
      </c>
    </row>
    <row r="1257" spans="1:30" s="37" customFormat="1" ht="15.75" customHeight="1" x14ac:dyDescent="0.2">
      <c r="A1257" s="26">
        <v>1670</v>
      </c>
      <c r="B1257" s="27" t="s">
        <v>2290</v>
      </c>
      <c r="C1257" s="27" t="s">
        <v>48</v>
      </c>
      <c r="D1257" s="28">
        <v>0.03</v>
      </c>
      <c r="E1257" s="29">
        <v>35.409999999999997</v>
      </c>
      <c r="F1257" s="29">
        <v>1.99</v>
      </c>
      <c r="G1257" s="30" t="s">
        <v>39</v>
      </c>
      <c r="H1257" s="27" t="s">
        <v>3095</v>
      </c>
      <c r="I1257" s="27" t="s">
        <v>41</v>
      </c>
      <c r="J1257" s="27" t="s">
        <v>42</v>
      </c>
      <c r="K1257" s="27" t="s">
        <v>43</v>
      </c>
      <c r="L1257" s="31" t="s">
        <v>2291</v>
      </c>
      <c r="M1257" s="32">
        <v>0.43</v>
      </c>
      <c r="N1257" s="27" t="s">
        <v>33</v>
      </c>
      <c r="O1257" s="27" t="s">
        <v>34</v>
      </c>
      <c r="P1257" s="27" t="s">
        <v>242</v>
      </c>
      <c r="Q1257" s="27" t="s">
        <v>2173</v>
      </c>
      <c r="R1257" s="33">
        <v>24060</v>
      </c>
      <c r="S1257" s="34">
        <v>42118</v>
      </c>
      <c r="T1257" s="34">
        <v>42120</v>
      </c>
      <c r="U1257" s="29">
        <v>1912.422</v>
      </c>
      <c r="V1257" s="26">
        <v>10</v>
      </c>
      <c r="W1257" s="29">
        <v>367.52</v>
      </c>
      <c r="X1257" s="26">
        <v>86722</v>
      </c>
      <c r="Y1257" s="35">
        <v>5.51</v>
      </c>
      <c r="Z1257" s="1" t="s">
        <v>3011</v>
      </c>
      <c r="AA1257" s="36">
        <v>10.622999999999998</v>
      </c>
      <c r="AB1257" s="54">
        <v>209.4864</v>
      </c>
      <c r="AC1257" s="54">
        <v>15.803359999999998</v>
      </c>
      <c r="AD1257" s="36">
        <v>-1557.5150000000001</v>
      </c>
    </row>
    <row r="1258" spans="1:30" s="37" customFormat="1" ht="15.75" customHeight="1" x14ac:dyDescent="0.2">
      <c r="A1258" s="26">
        <v>3325</v>
      </c>
      <c r="B1258" s="27" t="s">
        <v>2283</v>
      </c>
      <c r="C1258" s="27" t="s">
        <v>26</v>
      </c>
      <c r="D1258" s="28">
        <v>7.0000000000000007E-2</v>
      </c>
      <c r="E1258" s="29">
        <v>5.58</v>
      </c>
      <c r="F1258" s="29">
        <v>1.99</v>
      </c>
      <c r="G1258" s="30" t="s">
        <v>39</v>
      </c>
      <c r="H1258" s="27" t="s">
        <v>40</v>
      </c>
      <c r="I1258" s="27" t="s">
        <v>49</v>
      </c>
      <c r="J1258" s="27" t="s">
        <v>50</v>
      </c>
      <c r="K1258" s="27" t="s">
        <v>51</v>
      </c>
      <c r="L1258" s="31" t="s">
        <v>2284</v>
      </c>
      <c r="M1258" s="32">
        <v>0.46</v>
      </c>
      <c r="N1258" s="27" t="s">
        <v>33</v>
      </c>
      <c r="O1258" s="27" t="s">
        <v>60</v>
      </c>
      <c r="P1258" s="27" t="s">
        <v>139</v>
      </c>
      <c r="Q1258" s="27" t="s">
        <v>2285</v>
      </c>
      <c r="R1258" s="33">
        <v>97420</v>
      </c>
      <c r="S1258" s="34">
        <v>42118</v>
      </c>
      <c r="T1258" s="34">
        <v>42120</v>
      </c>
      <c r="U1258" s="29">
        <v>23.045999999999999</v>
      </c>
      <c r="V1258" s="26">
        <v>23</v>
      </c>
      <c r="W1258" s="29">
        <v>121.46</v>
      </c>
      <c r="X1258" s="26">
        <v>90987</v>
      </c>
      <c r="Y1258" s="35">
        <v>9.0200000000000014</v>
      </c>
      <c r="Z1258" s="1" t="s">
        <v>3013</v>
      </c>
      <c r="AA1258" s="36">
        <v>8.9838000000000022</v>
      </c>
      <c r="AB1258" s="54">
        <v>65.588400000000007</v>
      </c>
      <c r="AC1258" s="54">
        <v>2.4292000000000002</v>
      </c>
      <c r="AD1258" s="36">
        <v>87.44019999999999</v>
      </c>
    </row>
    <row r="1259" spans="1:30" s="37" customFormat="1" ht="15.75" customHeight="1" x14ac:dyDescent="0.2">
      <c r="A1259" s="26">
        <v>1086</v>
      </c>
      <c r="B1259" s="27" t="s">
        <v>2287</v>
      </c>
      <c r="C1259" s="27" t="s">
        <v>38</v>
      </c>
      <c r="D1259" s="28">
        <v>0.04</v>
      </c>
      <c r="E1259" s="29">
        <v>14.27</v>
      </c>
      <c r="F1259" s="29">
        <v>7.27</v>
      </c>
      <c r="G1259" s="30" t="s">
        <v>39</v>
      </c>
      <c r="H1259" s="27" t="s">
        <v>71</v>
      </c>
      <c r="I1259" s="27" t="s">
        <v>49</v>
      </c>
      <c r="J1259" s="27" t="s">
        <v>72</v>
      </c>
      <c r="K1259" s="27" t="s">
        <v>73</v>
      </c>
      <c r="L1259" s="31" t="s">
        <v>2288</v>
      </c>
      <c r="M1259" s="32">
        <v>0.38</v>
      </c>
      <c r="N1259" s="27" t="s">
        <v>33</v>
      </c>
      <c r="O1259" s="27" t="s">
        <v>111</v>
      </c>
      <c r="P1259" s="27" t="s">
        <v>112</v>
      </c>
      <c r="Q1259" s="27" t="s">
        <v>2289</v>
      </c>
      <c r="R1259" s="33">
        <v>11746</v>
      </c>
      <c r="S1259" s="34">
        <v>42118</v>
      </c>
      <c r="T1259" s="34">
        <v>42119</v>
      </c>
      <c r="U1259" s="29">
        <v>2.125</v>
      </c>
      <c r="V1259" s="26">
        <v>3</v>
      </c>
      <c r="W1259" s="29">
        <v>45.24</v>
      </c>
      <c r="X1259" s="26">
        <v>86123</v>
      </c>
      <c r="Y1259" s="35">
        <v>14.23</v>
      </c>
      <c r="Z1259" s="1" t="s">
        <v>3014</v>
      </c>
      <c r="AA1259" s="36">
        <v>1.7123999999999999</v>
      </c>
      <c r="AB1259" s="54">
        <v>28.0488</v>
      </c>
      <c r="AC1259" s="54">
        <v>5.7304000000000004</v>
      </c>
      <c r="AD1259" s="36">
        <v>34.132600000000004</v>
      </c>
    </row>
    <row r="1260" spans="1:30" s="37" customFormat="1" ht="15.75" customHeight="1" x14ac:dyDescent="0.2">
      <c r="A1260" s="26">
        <v>1085</v>
      </c>
      <c r="B1260" s="27" t="s">
        <v>231</v>
      </c>
      <c r="C1260" s="27" t="s">
        <v>38</v>
      </c>
      <c r="D1260" s="28">
        <v>0.04</v>
      </c>
      <c r="E1260" s="29">
        <v>9.06</v>
      </c>
      <c r="F1260" s="29">
        <v>9.86</v>
      </c>
      <c r="G1260" s="30" t="s">
        <v>39</v>
      </c>
      <c r="H1260" s="27" t="s">
        <v>71</v>
      </c>
      <c r="I1260" s="27" t="s">
        <v>49</v>
      </c>
      <c r="J1260" s="27" t="s">
        <v>88</v>
      </c>
      <c r="K1260" s="27" t="s">
        <v>73</v>
      </c>
      <c r="L1260" s="31" t="s">
        <v>2286</v>
      </c>
      <c r="M1260" s="32">
        <v>0.4</v>
      </c>
      <c r="N1260" s="27" t="s">
        <v>33</v>
      </c>
      <c r="O1260" s="27" t="s">
        <v>111</v>
      </c>
      <c r="P1260" s="27" t="s">
        <v>112</v>
      </c>
      <c r="Q1260" s="27" t="s">
        <v>233</v>
      </c>
      <c r="R1260" s="33">
        <v>11729</v>
      </c>
      <c r="S1260" s="34">
        <v>42118</v>
      </c>
      <c r="T1260" s="34">
        <v>42119</v>
      </c>
      <c r="U1260" s="29">
        <v>-53.25</v>
      </c>
      <c r="V1260" s="26">
        <v>3</v>
      </c>
      <c r="W1260" s="29">
        <v>30.87</v>
      </c>
      <c r="X1260" s="26">
        <v>86123</v>
      </c>
      <c r="Y1260" s="35">
        <v>35.379999999999995</v>
      </c>
      <c r="Z1260" s="1" t="s">
        <v>3014</v>
      </c>
      <c r="AA1260" s="36">
        <v>1.0871999999999999</v>
      </c>
      <c r="AB1260" s="54">
        <v>18.521999999999998</v>
      </c>
      <c r="AC1260" s="54">
        <v>4.1160000000000005</v>
      </c>
      <c r="AD1260" s="36">
        <v>73.172799999999995</v>
      </c>
    </row>
    <row r="1261" spans="1:30" s="37" customFormat="1" ht="15.75" customHeight="1" x14ac:dyDescent="0.2">
      <c r="A1261" s="26">
        <v>1391</v>
      </c>
      <c r="B1261" s="27" t="s">
        <v>2292</v>
      </c>
      <c r="C1261" s="27" t="s">
        <v>3094</v>
      </c>
      <c r="D1261" s="28">
        <v>0</v>
      </c>
      <c r="E1261" s="29">
        <v>2.88</v>
      </c>
      <c r="F1261" s="29">
        <v>0.7</v>
      </c>
      <c r="G1261" s="30" t="s">
        <v>87</v>
      </c>
      <c r="H1261" s="27" t="s">
        <v>40</v>
      </c>
      <c r="I1261" s="27" t="s">
        <v>49</v>
      </c>
      <c r="J1261" s="27" t="s">
        <v>50</v>
      </c>
      <c r="K1261" s="27" t="s">
        <v>51</v>
      </c>
      <c r="L1261" s="31" t="s">
        <v>639</v>
      </c>
      <c r="M1261" s="32">
        <v>0.56000000000000005</v>
      </c>
      <c r="N1261" s="27" t="s">
        <v>33</v>
      </c>
      <c r="O1261" s="27" t="s">
        <v>60</v>
      </c>
      <c r="P1261" s="27" t="s">
        <v>90</v>
      </c>
      <c r="Q1261" s="27" t="s">
        <v>2293</v>
      </c>
      <c r="R1261" s="33">
        <v>94086</v>
      </c>
      <c r="S1261" s="34">
        <v>42118</v>
      </c>
      <c r="T1261" s="34">
        <v>42118</v>
      </c>
      <c r="U1261" s="29">
        <v>-0.11</v>
      </c>
      <c r="V1261" s="26">
        <v>1</v>
      </c>
      <c r="W1261" s="29">
        <v>7.96</v>
      </c>
      <c r="X1261" s="26">
        <v>88727</v>
      </c>
      <c r="Y1261" s="35">
        <v>142.86000000000001</v>
      </c>
      <c r="Z1261" s="1" t="s">
        <v>3013</v>
      </c>
      <c r="AA1261" s="36">
        <v>0</v>
      </c>
      <c r="AB1261" s="54">
        <v>3.5023999999999997</v>
      </c>
      <c r="AC1261" s="54">
        <v>4.4576000000000002</v>
      </c>
      <c r="AD1261" s="36">
        <v>7.37</v>
      </c>
    </row>
    <row r="1262" spans="1:30" s="37" customFormat="1" ht="15.75" customHeight="1" x14ac:dyDescent="0.2">
      <c r="A1262" s="26">
        <v>1257</v>
      </c>
      <c r="B1262" s="27" t="s">
        <v>2281</v>
      </c>
      <c r="C1262" s="27" t="s">
        <v>26</v>
      </c>
      <c r="D1262" s="28">
        <v>0.04</v>
      </c>
      <c r="E1262" s="29">
        <v>2.52</v>
      </c>
      <c r="F1262" s="29">
        <v>1.92</v>
      </c>
      <c r="G1262" s="30" t="s">
        <v>39</v>
      </c>
      <c r="H1262" s="27" t="s">
        <v>71</v>
      </c>
      <c r="I1262" s="27" t="s">
        <v>49</v>
      </c>
      <c r="J1262" s="27" t="s">
        <v>568</v>
      </c>
      <c r="K1262" s="27" t="s">
        <v>51</v>
      </c>
      <c r="L1262" s="31" t="s">
        <v>2282</v>
      </c>
      <c r="M1262" s="32">
        <v>0.82</v>
      </c>
      <c r="N1262" s="27" t="s">
        <v>33</v>
      </c>
      <c r="O1262" s="27" t="s">
        <v>60</v>
      </c>
      <c r="P1262" s="27" t="s">
        <v>61</v>
      </c>
      <c r="Q1262" s="27" t="s">
        <v>1123</v>
      </c>
      <c r="R1262" s="33">
        <v>80013</v>
      </c>
      <c r="S1262" s="34">
        <v>42118</v>
      </c>
      <c r="T1262" s="34">
        <v>42118</v>
      </c>
      <c r="U1262" s="29">
        <v>-8.2080000000000002</v>
      </c>
      <c r="V1262" s="26">
        <v>1</v>
      </c>
      <c r="W1262" s="29">
        <v>3.13</v>
      </c>
      <c r="X1262" s="26">
        <v>86536</v>
      </c>
      <c r="Y1262" s="35">
        <v>2.88</v>
      </c>
      <c r="Z1262" s="1" t="s">
        <v>3013</v>
      </c>
      <c r="AA1262" s="36">
        <v>0.1008</v>
      </c>
      <c r="AB1262" s="54">
        <v>0.56340000000000012</v>
      </c>
      <c r="AC1262" s="54">
        <v>2.5665999999999998</v>
      </c>
      <c r="AD1262" s="36">
        <v>9.3171999999999997</v>
      </c>
    </row>
    <row r="1263" spans="1:30" s="37" customFormat="1" ht="15.75" customHeight="1" x14ac:dyDescent="0.2">
      <c r="A1263" s="26">
        <v>2571</v>
      </c>
      <c r="B1263" s="27" t="s">
        <v>2299</v>
      </c>
      <c r="C1263" s="27" t="s">
        <v>26</v>
      </c>
      <c r="D1263" s="28">
        <v>0.01</v>
      </c>
      <c r="E1263" s="29">
        <v>500.98</v>
      </c>
      <c r="F1263" s="29">
        <v>56</v>
      </c>
      <c r="G1263" s="30" t="s">
        <v>27</v>
      </c>
      <c r="H1263" s="27" t="s">
        <v>40</v>
      </c>
      <c r="I1263" s="27" t="s">
        <v>29</v>
      </c>
      <c r="J1263" s="27" t="s">
        <v>109</v>
      </c>
      <c r="K1263" s="27" t="s">
        <v>58</v>
      </c>
      <c r="L1263" s="31" t="s">
        <v>2296</v>
      </c>
      <c r="M1263" s="32">
        <v>0.6</v>
      </c>
      <c r="N1263" s="27" t="s">
        <v>33</v>
      </c>
      <c r="O1263" s="27" t="s">
        <v>111</v>
      </c>
      <c r="P1263" s="27" t="s">
        <v>112</v>
      </c>
      <c r="Q1263" s="27" t="s">
        <v>113</v>
      </c>
      <c r="R1263" s="33">
        <v>10165</v>
      </c>
      <c r="S1263" s="34">
        <v>42119</v>
      </c>
      <c r="T1263" s="34">
        <v>42120</v>
      </c>
      <c r="U1263" s="29">
        <v>4260.1120000000001</v>
      </c>
      <c r="V1263" s="26">
        <v>56</v>
      </c>
      <c r="W1263" s="29">
        <v>29718.53</v>
      </c>
      <c r="X1263" s="26">
        <v>50656</v>
      </c>
      <c r="Y1263" s="35">
        <v>4.37</v>
      </c>
      <c r="Z1263" s="1" t="s">
        <v>3014</v>
      </c>
      <c r="AA1263" s="36">
        <v>280.54880000000003</v>
      </c>
      <c r="AB1263" s="54">
        <v>11887.412</v>
      </c>
      <c r="AC1263" s="54">
        <v>318.41282142857136</v>
      </c>
      <c r="AD1263" s="36">
        <v>25121.869200000001</v>
      </c>
    </row>
    <row r="1264" spans="1:30" s="37" customFormat="1" ht="15.75" customHeight="1" x14ac:dyDescent="0.2">
      <c r="A1264" s="26">
        <v>2570</v>
      </c>
      <c r="B1264" s="27" t="s">
        <v>2294</v>
      </c>
      <c r="C1264" s="27" t="s">
        <v>26</v>
      </c>
      <c r="D1264" s="28">
        <v>0.01</v>
      </c>
      <c r="E1264" s="29">
        <v>500.98</v>
      </c>
      <c r="F1264" s="29">
        <v>56</v>
      </c>
      <c r="G1264" s="30" t="s">
        <v>27</v>
      </c>
      <c r="H1264" s="27" t="s">
        <v>40</v>
      </c>
      <c r="I1264" s="27" t="s">
        <v>29</v>
      </c>
      <c r="J1264" s="27" t="s">
        <v>109</v>
      </c>
      <c r="K1264" s="27" t="s">
        <v>58</v>
      </c>
      <c r="L1264" s="31" t="s">
        <v>2296</v>
      </c>
      <c r="M1264" s="32">
        <v>0.6</v>
      </c>
      <c r="N1264" s="27" t="s">
        <v>33</v>
      </c>
      <c r="O1264" s="27" t="s">
        <v>60</v>
      </c>
      <c r="P1264" s="27" t="s">
        <v>90</v>
      </c>
      <c r="Q1264" s="27" t="s">
        <v>2295</v>
      </c>
      <c r="R1264" s="33">
        <v>95616</v>
      </c>
      <c r="S1264" s="34">
        <v>42119</v>
      </c>
      <c r="T1264" s="34">
        <v>42120</v>
      </c>
      <c r="U1264" s="29">
        <v>4899.1288000000004</v>
      </c>
      <c r="V1264" s="26">
        <v>14</v>
      </c>
      <c r="W1264" s="29">
        <v>7429.63</v>
      </c>
      <c r="X1264" s="26">
        <v>90327</v>
      </c>
      <c r="Y1264" s="35">
        <v>500.97</v>
      </c>
      <c r="Z1264" s="1" t="s">
        <v>3013</v>
      </c>
      <c r="AA1264" s="36">
        <v>70.137200000000007</v>
      </c>
      <c r="AB1264" s="54">
        <v>2971.8520000000003</v>
      </c>
      <c r="AC1264" s="54">
        <v>318.41271428571429</v>
      </c>
      <c r="AD1264" s="36">
        <v>2404.3639999999996</v>
      </c>
    </row>
    <row r="1265" spans="1:30" s="37" customFormat="1" ht="15.75" customHeight="1" x14ac:dyDescent="0.2">
      <c r="A1265" s="26">
        <v>2570</v>
      </c>
      <c r="B1265" s="27" t="s">
        <v>2294</v>
      </c>
      <c r="C1265" s="27" t="s">
        <v>26</v>
      </c>
      <c r="D1265" s="28">
        <v>0.02</v>
      </c>
      <c r="E1265" s="29">
        <v>12.58</v>
      </c>
      <c r="F1265" s="29">
        <v>5.16</v>
      </c>
      <c r="G1265" s="30" t="s">
        <v>39</v>
      </c>
      <c r="H1265" s="27" t="s">
        <v>40</v>
      </c>
      <c r="I1265" s="27" t="s">
        <v>29</v>
      </c>
      <c r="J1265" s="27" t="s">
        <v>126</v>
      </c>
      <c r="K1265" s="27" t="s">
        <v>73</v>
      </c>
      <c r="L1265" s="31" t="s">
        <v>2297</v>
      </c>
      <c r="M1265" s="32">
        <v>0.43</v>
      </c>
      <c r="N1265" s="27" t="s">
        <v>33</v>
      </c>
      <c r="O1265" s="27" t="s">
        <v>60</v>
      </c>
      <c r="P1265" s="27" t="s">
        <v>90</v>
      </c>
      <c r="Q1265" s="27" t="s">
        <v>2295</v>
      </c>
      <c r="R1265" s="33">
        <v>95616</v>
      </c>
      <c r="S1265" s="34">
        <v>42119</v>
      </c>
      <c r="T1265" s="34">
        <v>42119</v>
      </c>
      <c r="U1265" s="29">
        <v>44.712000000000003</v>
      </c>
      <c r="V1265" s="26">
        <v>18</v>
      </c>
      <c r="W1265" s="29">
        <v>224.29</v>
      </c>
      <c r="X1265" s="26">
        <v>90327</v>
      </c>
      <c r="Y1265" s="35">
        <v>12.56</v>
      </c>
      <c r="Z1265" s="1" t="s">
        <v>3013</v>
      </c>
      <c r="AA1265" s="36">
        <v>4.5287999999999995</v>
      </c>
      <c r="AB1265" s="54">
        <v>127.84530000000001</v>
      </c>
      <c r="AC1265" s="54">
        <v>5.3580388888888884</v>
      </c>
      <c r="AD1265" s="36">
        <v>169.88919999999999</v>
      </c>
    </row>
    <row r="1266" spans="1:30" s="37" customFormat="1" ht="15.75" customHeight="1" x14ac:dyDescent="0.2">
      <c r="A1266" s="26">
        <v>2571</v>
      </c>
      <c r="B1266" s="27" t="s">
        <v>2299</v>
      </c>
      <c r="C1266" s="27" t="s">
        <v>26</v>
      </c>
      <c r="D1266" s="28">
        <v>0.1</v>
      </c>
      <c r="E1266" s="29">
        <v>7.7</v>
      </c>
      <c r="F1266" s="29">
        <v>3.68</v>
      </c>
      <c r="G1266" s="30" t="s">
        <v>39</v>
      </c>
      <c r="H1266" s="27" t="s">
        <v>40</v>
      </c>
      <c r="I1266" s="27" t="s">
        <v>29</v>
      </c>
      <c r="J1266" s="27" t="s">
        <v>126</v>
      </c>
      <c r="K1266" s="27" t="s">
        <v>51</v>
      </c>
      <c r="L1266" s="31" t="s">
        <v>2298</v>
      </c>
      <c r="M1266" s="32">
        <v>0.52</v>
      </c>
      <c r="N1266" s="27" t="s">
        <v>33</v>
      </c>
      <c r="O1266" s="27" t="s">
        <v>111</v>
      </c>
      <c r="P1266" s="27" t="s">
        <v>112</v>
      </c>
      <c r="Q1266" s="27" t="s">
        <v>113</v>
      </c>
      <c r="R1266" s="33">
        <v>10165</v>
      </c>
      <c r="S1266" s="34">
        <v>42119</v>
      </c>
      <c r="T1266" s="34">
        <v>42120</v>
      </c>
      <c r="U1266" s="29">
        <v>-25.14</v>
      </c>
      <c r="V1266" s="26">
        <v>27</v>
      </c>
      <c r="W1266" s="29">
        <v>197.48</v>
      </c>
      <c r="X1266" s="26">
        <v>50656</v>
      </c>
      <c r="Y1266" s="35">
        <v>7.6000000000000005</v>
      </c>
      <c r="Z1266" s="1" t="s">
        <v>3014</v>
      </c>
      <c r="AA1266" s="36">
        <v>20.79</v>
      </c>
      <c r="AB1266" s="54">
        <v>94.790399999999991</v>
      </c>
      <c r="AC1266" s="54">
        <v>3.8033185185185183</v>
      </c>
      <c r="AD1266" s="36">
        <v>198.14999999999998</v>
      </c>
    </row>
    <row r="1267" spans="1:30" s="37" customFormat="1" ht="15.75" customHeight="1" x14ac:dyDescent="0.2">
      <c r="A1267" s="26">
        <v>2570</v>
      </c>
      <c r="B1267" s="27" t="s">
        <v>2294</v>
      </c>
      <c r="C1267" s="27" t="s">
        <v>26</v>
      </c>
      <c r="D1267" s="28">
        <v>0</v>
      </c>
      <c r="E1267" s="29">
        <v>4.37</v>
      </c>
      <c r="F1267" s="29">
        <v>5.15</v>
      </c>
      <c r="G1267" s="30" t="s">
        <v>39</v>
      </c>
      <c r="H1267" s="27" t="s">
        <v>40</v>
      </c>
      <c r="I1267" s="27" t="s">
        <v>49</v>
      </c>
      <c r="J1267" s="27" t="s">
        <v>95</v>
      </c>
      <c r="K1267" s="27" t="s">
        <v>73</v>
      </c>
      <c r="L1267" s="31" t="s">
        <v>1295</v>
      </c>
      <c r="M1267" s="32">
        <v>0.59</v>
      </c>
      <c r="N1267" s="27" t="s">
        <v>33</v>
      </c>
      <c r="O1267" s="27" t="s">
        <v>60</v>
      </c>
      <c r="P1267" s="27" t="s">
        <v>90</v>
      </c>
      <c r="Q1267" s="27" t="s">
        <v>2295</v>
      </c>
      <c r="R1267" s="33">
        <v>95616</v>
      </c>
      <c r="S1267" s="34">
        <v>42119</v>
      </c>
      <c r="T1267" s="34">
        <v>42121</v>
      </c>
      <c r="U1267" s="29">
        <v>-150.2604</v>
      </c>
      <c r="V1267" s="26">
        <v>19</v>
      </c>
      <c r="W1267" s="29">
        <v>87.85</v>
      </c>
      <c r="X1267" s="26">
        <v>90327</v>
      </c>
      <c r="Y1267" s="35">
        <v>500.97</v>
      </c>
      <c r="Z1267" s="1" t="s">
        <v>3013</v>
      </c>
      <c r="AA1267" s="36">
        <v>0</v>
      </c>
      <c r="AB1267" s="54">
        <v>36.018500000000003</v>
      </c>
      <c r="AC1267" s="54">
        <v>2.727973684210526</v>
      </c>
      <c r="AD1267" s="36">
        <v>232.96039999999999</v>
      </c>
    </row>
    <row r="1268" spans="1:30" s="37" customFormat="1" ht="15.75" customHeight="1" x14ac:dyDescent="0.2">
      <c r="A1268" s="26">
        <v>3379</v>
      </c>
      <c r="B1268" s="27" t="s">
        <v>1869</v>
      </c>
      <c r="C1268" s="27" t="s">
        <v>26</v>
      </c>
      <c r="D1268" s="28">
        <v>0.05</v>
      </c>
      <c r="E1268" s="29">
        <v>3.14</v>
      </c>
      <c r="F1268" s="29">
        <v>1.92</v>
      </c>
      <c r="G1268" s="30" t="s">
        <v>87</v>
      </c>
      <c r="H1268" s="27" t="s">
        <v>71</v>
      </c>
      <c r="I1268" s="27" t="s">
        <v>49</v>
      </c>
      <c r="J1268" s="27" t="s">
        <v>568</v>
      </c>
      <c r="K1268" s="27" t="s">
        <v>51</v>
      </c>
      <c r="L1268" s="31" t="s">
        <v>1440</v>
      </c>
      <c r="M1268" s="32">
        <v>0.84</v>
      </c>
      <c r="N1268" s="27" t="s">
        <v>33</v>
      </c>
      <c r="O1268" s="27" t="s">
        <v>34</v>
      </c>
      <c r="P1268" s="27" t="s">
        <v>75</v>
      </c>
      <c r="Q1268" s="27" t="s">
        <v>1871</v>
      </c>
      <c r="R1268" s="33">
        <v>30144</v>
      </c>
      <c r="S1268" s="34">
        <v>42119</v>
      </c>
      <c r="T1268" s="34">
        <v>42120</v>
      </c>
      <c r="U1268" s="29">
        <v>1628.37</v>
      </c>
      <c r="V1268" s="26">
        <v>18</v>
      </c>
      <c r="W1268" s="29">
        <v>59.22</v>
      </c>
      <c r="X1268" s="26">
        <v>88839</v>
      </c>
      <c r="Y1268" s="35">
        <v>7.6000000000000005</v>
      </c>
      <c r="Z1268" s="1" t="s">
        <v>3011</v>
      </c>
      <c r="AA1268" s="36">
        <v>2.8260000000000005</v>
      </c>
      <c r="AB1268" s="54">
        <v>9.475200000000001</v>
      </c>
      <c r="AC1268" s="54">
        <v>2.7635999999999998</v>
      </c>
      <c r="AD1268" s="36">
        <v>-1573.896</v>
      </c>
    </row>
    <row r="1269" spans="1:30" s="37" customFormat="1" ht="15.75" customHeight="1" x14ac:dyDescent="0.2">
      <c r="A1269" s="26">
        <v>2570</v>
      </c>
      <c r="B1269" s="27" t="s">
        <v>2294</v>
      </c>
      <c r="C1269" s="27" t="s">
        <v>26</v>
      </c>
      <c r="D1269" s="28">
        <v>0.1</v>
      </c>
      <c r="E1269" s="29">
        <v>7.7</v>
      </c>
      <c r="F1269" s="29">
        <v>3.68</v>
      </c>
      <c r="G1269" s="30" t="s">
        <v>39</v>
      </c>
      <c r="H1269" s="27" t="s">
        <v>40</v>
      </c>
      <c r="I1269" s="27" t="s">
        <v>29</v>
      </c>
      <c r="J1269" s="27" t="s">
        <v>126</v>
      </c>
      <c r="K1269" s="27" t="s">
        <v>51</v>
      </c>
      <c r="L1269" s="31" t="s">
        <v>2298</v>
      </c>
      <c r="M1269" s="32">
        <v>0.52</v>
      </c>
      <c r="N1269" s="27" t="s">
        <v>33</v>
      </c>
      <c r="O1269" s="27" t="s">
        <v>60</v>
      </c>
      <c r="P1269" s="27" t="s">
        <v>90</v>
      </c>
      <c r="Q1269" s="27" t="s">
        <v>2295</v>
      </c>
      <c r="R1269" s="33">
        <v>95616</v>
      </c>
      <c r="S1269" s="34">
        <v>42119</v>
      </c>
      <c r="T1269" s="34">
        <v>42120</v>
      </c>
      <c r="U1269" s="29">
        <v>-22.626000000000001</v>
      </c>
      <c r="V1269" s="26">
        <v>7</v>
      </c>
      <c r="W1269" s="29">
        <v>51.2</v>
      </c>
      <c r="X1269" s="26">
        <v>90327</v>
      </c>
      <c r="Y1269" s="35">
        <v>3.0900000000000003</v>
      </c>
      <c r="Z1269" s="1" t="s">
        <v>3013</v>
      </c>
      <c r="AA1269" s="36">
        <v>5.3900000000000006</v>
      </c>
      <c r="AB1269" s="54">
        <v>24.576000000000001</v>
      </c>
      <c r="AC1269" s="54">
        <v>3.8034285714285718</v>
      </c>
      <c r="AD1269" s="36">
        <v>64.756</v>
      </c>
    </row>
    <row r="1270" spans="1:30" s="37" customFormat="1" ht="15.75" customHeight="1" x14ac:dyDescent="0.2">
      <c r="A1270" s="26">
        <v>2491</v>
      </c>
      <c r="B1270" s="27" t="s">
        <v>457</v>
      </c>
      <c r="C1270" s="27" t="s">
        <v>116</v>
      </c>
      <c r="D1270" s="28">
        <v>0.04</v>
      </c>
      <c r="E1270" s="29">
        <v>419.19</v>
      </c>
      <c r="F1270" s="29">
        <v>19.989999999999998</v>
      </c>
      <c r="G1270" s="30" t="s">
        <v>39</v>
      </c>
      <c r="H1270" s="27" t="s">
        <v>71</v>
      </c>
      <c r="I1270" s="27" t="s">
        <v>49</v>
      </c>
      <c r="J1270" s="27" t="s">
        <v>78</v>
      </c>
      <c r="K1270" s="27" t="s">
        <v>73</v>
      </c>
      <c r="L1270" s="31" t="s">
        <v>2192</v>
      </c>
      <c r="M1270" s="32">
        <v>0.57999999999999996</v>
      </c>
      <c r="N1270" s="27" t="s">
        <v>33</v>
      </c>
      <c r="O1270" s="27" t="s">
        <v>60</v>
      </c>
      <c r="P1270" s="27" t="s">
        <v>90</v>
      </c>
      <c r="Q1270" s="27" t="s">
        <v>100</v>
      </c>
      <c r="R1270" s="33">
        <v>90045</v>
      </c>
      <c r="S1270" s="34">
        <v>42120</v>
      </c>
      <c r="T1270" s="34">
        <v>42121</v>
      </c>
      <c r="U1270" s="29">
        <v>1947.67</v>
      </c>
      <c r="V1270" s="26">
        <v>20</v>
      </c>
      <c r="W1270" s="29">
        <v>8048.45</v>
      </c>
      <c r="X1270" s="26">
        <v>23042</v>
      </c>
      <c r="Y1270" s="35">
        <v>101.32</v>
      </c>
      <c r="Z1270" s="1" t="s">
        <v>3013</v>
      </c>
      <c r="AA1270" s="36">
        <v>335.35200000000003</v>
      </c>
      <c r="AB1270" s="54">
        <v>3380.3490000000002</v>
      </c>
      <c r="AC1270" s="54">
        <v>233.40504999999999</v>
      </c>
      <c r="AD1270" s="36">
        <v>5745.4380000000001</v>
      </c>
    </row>
    <row r="1271" spans="1:30" s="37" customFormat="1" ht="15.75" customHeight="1" x14ac:dyDescent="0.2">
      <c r="A1271" s="26">
        <v>2489</v>
      </c>
      <c r="B1271" s="27" t="s">
        <v>451</v>
      </c>
      <c r="C1271" s="27" t="s">
        <v>116</v>
      </c>
      <c r="D1271" s="28">
        <v>0.04</v>
      </c>
      <c r="E1271" s="29">
        <v>419.19</v>
      </c>
      <c r="F1271" s="29">
        <v>19.989999999999998</v>
      </c>
      <c r="G1271" s="30" t="s">
        <v>39</v>
      </c>
      <c r="H1271" s="27" t="s">
        <v>71</v>
      </c>
      <c r="I1271" s="27" t="s">
        <v>49</v>
      </c>
      <c r="J1271" s="27" t="s">
        <v>78</v>
      </c>
      <c r="K1271" s="27" t="s">
        <v>73</v>
      </c>
      <c r="L1271" s="31" t="s">
        <v>2192</v>
      </c>
      <c r="M1271" s="32">
        <v>0.57999999999999996</v>
      </c>
      <c r="N1271" s="27" t="s">
        <v>33</v>
      </c>
      <c r="O1271" s="27" t="s">
        <v>60</v>
      </c>
      <c r="P1271" s="27" t="s">
        <v>90</v>
      </c>
      <c r="Q1271" s="27" t="s">
        <v>453</v>
      </c>
      <c r="R1271" s="33">
        <v>94521</v>
      </c>
      <c r="S1271" s="34">
        <v>42120</v>
      </c>
      <c r="T1271" s="34">
        <v>42121</v>
      </c>
      <c r="U1271" s="29">
        <v>1388.3559</v>
      </c>
      <c r="V1271" s="26">
        <v>5</v>
      </c>
      <c r="W1271" s="29">
        <v>2012.11</v>
      </c>
      <c r="X1271" s="26">
        <v>86885</v>
      </c>
      <c r="Y1271" s="35">
        <v>180.95</v>
      </c>
      <c r="Z1271" s="1" t="s">
        <v>3013</v>
      </c>
      <c r="AA1271" s="36">
        <v>83.838000000000008</v>
      </c>
      <c r="AB1271" s="54">
        <v>845.08620000000008</v>
      </c>
      <c r="AC1271" s="54">
        <v>233.40475999999995</v>
      </c>
      <c r="AD1271" s="36">
        <v>519.92609999999991</v>
      </c>
    </row>
    <row r="1272" spans="1:30" s="37" customFormat="1" ht="15.75" customHeight="1" x14ac:dyDescent="0.2">
      <c r="A1272" s="26">
        <v>731</v>
      </c>
      <c r="B1272" s="27" t="s">
        <v>2300</v>
      </c>
      <c r="C1272" s="27" t="s">
        <v>38</v>
      </c>
      <c r="D1272" s="28">
        <v>0.09</v>
      </c>
      <c r="E1272" s="29">
        <v>101.41</v>
      </c>
      <c r="F1272" s="29">
        <v>35</v>
      </c>
      <c r="G1272" s="30" t="s">
        <v>39</v>
      </c>
      <c r="H1272" s="27" t="s">
        <v>40</v>
      </c>
      <c r="I1272" s="27" t="s">
        <v>49</v>
      </c>
      <c r="J1272" s="27" t="s">
        <v>78</v>
      </c>
      <c r="K1272" s="27" t="s">
        <v>65</v>
      </c>
      <c r="L1272" s="31" t="s">
        <v>766</v>
      </c>
      <c r="M1272" s="32">
        <v>0.82</v>
      </c>
      <c r="N1272" s="27" t="s">
        <v>33</v>
      </c>
      <c r="O1272" s="27" t="s">
        <v>111</v>
      </c>
      <c r="P1272" s="27" t="s">
        <v>403</v>
      </c>
      <c r="Q1272" s="27" t="s">
        <v>928</v>
      </c>
      <c r="R1272" s="33">
        <v>1803</v>
      </c>
      <c r="S1272" s="34">
        <v>42120</v>
      </c>
      <c r="T1272" s="34">
        <v>42121</v>
      </c>
      <c r="U1272" s="29">
        <v>-801.15480000000002</v>
      </c>
      <c r="V1272" s="26">
        <v>12</v>
      </c>
      <c r="W1272" s="29">
        <v>1178.32</v>
      </c>
      <c r="X1272" s="26">
        <v>90362</v>
      </c>
      <c r="Y1272" s="35">
        <v>4.2200000000000006</v>
      </c>
      <c r="Z1272" s="1" t="s">
        <v>3014</v>
      </c>
      <c r="AA1272" s="36">
        <v>109.52279999999999</v>
      </c>
      <c r="AB1272" s="54">
        <v>212.09760000000006</v>
      </c>
      <c r="AC1272" s="54">
        <v>80.518533333333323</v>
      </c>
      <c r="AD1272" s="36">
        <v>1834.952</v>
      </c>
    </row>
    <row r="1273" spans="1:30" s="37" customFormat="1" ht="15.75" customHeight="1" x14ac:dyDescent="0.2">
      <c r="A1273" s="26">
        <v>1893</v>
      </c>
      <c r="B1273" s="27" t="s">
        <v>2301</v>
      </c>
      <c r="C1273" s="27" t="s">
        <v>48</v>
      </c>
      <c r="D1273" s="28">
        <v>0.03</v>
      </c>
      <c r="E1273" s="29">
        <v>180.98</v>
      </c>
      <c r="F1273" s="29">
        <v>26.2</v>
      </c>
      <c r="G1273" s="30" t="s">
        <v>27</v>
      </c>
      <c r="H1273" s="27" t="s">
        <v>40</v>
      </c>
      <c r="I1273" s="27" t="s">
        <v>29</v>
      </c>
      <c r="J1273" s="27" t="s">
        <v>109</v>
      </c>
      <c r="K1273" s="27" t="s">
        <v>58</v>
      </c>
      <c r="L1273" s="31" t="s">
        <v>2274</v>
      </c>
      <c r="M1273" s="32">
        <v>0.59</v>
      </c>
      <c r="N1273" s="27" t="s">
        <v>33</v>
      </c>
      <c r="O1273" s="27" t="s">
        <v>53</v>
      </c>
      <c r="P1273" s="27" t="s">
        <v>80</v>
      </c>
      <c r="Q1273" s="27" t="s">
        <v>2302</v>
      </c>
      <c r="R1273" s="33">
        <v>63119</v>
      </c>
      <c r="S1273" s="34">
        <v>42120</v>
      </c>
      <c r="T1273" s="34">
        <v>42124</v>
      </c>
      <c r="U1273" s="29">
        <v>588.54</v>
      </c>
      <c r="V1273" s="26">
        <v>5</v>
      </c>
      <c r="W1273" s="29">
        <v>928.92</v>
      </c>
      <c r="X1273" s="26">
        <v>91262</v>
      </c>
      <c r="Y1273" s="35">
        <v>4.2200000000000006</v>
      </c>
      <c r="Z1273" s="1" t="s">
        <v>3012</v>
      </c>
      <c r="AA1273" s="36">
        <v>27.146999999999998</v>
      </c>
      <c r="AB1273" s="54">
        <v>380.85720000000003</v>
      </c>
      <c r="AC1273" s="54">
        <v>109.61255999999999</v>
      </c>
      <c r="AD1273" s="36">
        <v>287.0329999999999</v>
      </c>
    </row>
    <row r="1274" spans="1:30" s="37" customFormat="1" ht="15.75" customHeight="1" x14ac:dyDescent="0.2">
      <c r="A1274" s="26">
        <v>2382</v>
      </c>
      <c r="B1274" s="27" t="s">
        <v>2306</v>
      </c>
      <c r="C1274" s="27" t="s">
        <v>3094</v>
      </c>
      <c r="D1274" s="28">
        <v>7.0000000000000007E-2</v>
      </c>
      <c r="E1274" s="29">
        <v>3.38</v>
      </c>
      <c r="F1274" s="29">
        <v>0.85</v>
      </c>
      <c r="G1274" s="30" t="s">
        <v>39</v>
      </c>
      <c r="H1274" s="27" t="s">
        <v>3095</v>
      </c>
      <c r="I1274" s="27" t="s">
        <v>49</v>
      </c>
      <c r="J1274" s="27" t="s">
        <v>50</v>
      </c>
      <c r="K1274" s="27" t="s">
        <v>51</v>
      </c>
      <c r="L1274" s="31" t="s">
        <v>936</v>
      </c>
      <c r="M1274" s="32">
        <v>0.48</v>
      </c>
      <c r="N1274" s="27" t="s">
        <v>33</v>
      </c>
      <c r="O1274" s="27" t="s">
        <v>111</v>
      </c>
      <c r="P1274" s="27" t="s">
        <v>112</v>
      </c>
      <c r="Q1274" s="27" t="s">
        <v>113</v>
      </c>
      <c r="R1274" s="33">
        <v>10024</v>
      </c>
      <c r="S1274" s="34">
        <v>42120</v>
      </c>
      <c r="T1274" s="34">
        <v>42122</v>
      </c>
      <c r="U1274" s="29">
        <v>19.04</v>
      </c>
      <c r="V1274" s="26">
        <v>34</v>
      </c>
      <c r="W1274" s="29">
        <v>109.86</v>
      </c>
      <c r="X1274" s="26">
        <v>13606</v>
      </c>
      <c r="Y1274" s="35">
        <v>419.15</v>
      </c>
      <c r="Z1274" s="1" t="s">
        <v>3014</v>
      </c>
      <c r="AA1274" s="36">
        <v>8.0443999999999996</v>
      </c>
      <c r="AB1274" s="54">
        <v>57.127200000000002</v>
      </c>
      <c r="AC1274" s="54">
        <v>1.5509647058823528</v>
      </c>
      <c r="AD1274" s="36">
        <v>81.925600000000003</v>
      </c>
    </row>
    <row r="1275" spans="1:30" s="37" customFormat="1" ht="15.75" customHeight="1" x14ac:dyDescent="0.2">
      <c r="A1275" s="26">
        <v>2491</v>
      </c>
      <c r="B1275" s="27" t="s">
        <v>457</v>
      </c>
      <c r="C1275" s="27" t="s">
        <v>48</v>
      </c>
      <c r="D1275" s="28">
        <v>0.06</v>
      </c>
      <c r="E1275" s="29">
        <v>4.28</v>
      </c>
      <c r="F1275" s="29">
        <v>0.94</v>
      </c>
      <c r="G1275" s="30" t="s">
        <v>39</v>
      </c>
      <c r="H1275" s="27" t="s">
        <v>40</v>
      </c>
      <c r="I1275" s="27" t="s">
        <v>49</v>
      </c>
      <c r="J1275" s="27" t="s">
        <v>50</v>
      </c>
      <c r="K1275" s="27" t="s">
        <v>51</v>
      </c>
      <c r="L1275" s="31" t="s">
        <v>481</v>
      </c>
      <c r="M1275" s="32">
        <v>0.56000000000000005</v>
      </c>
      <c r="N1275" s="27" t="s">
        <v>33</v>
      </c>
      <c r="O1275" s="27" t="s">
        <v>60</v>
      </c>
      <c r="P1275" s="27" t="s">
        <v>90</v>
      </c>
      <c r="Q1275" s="27" t="s">
        <v>100</v>
      </c>
      <c r="R1275" s="33">
        <v>90045</v>
      </c>
      <c r="S1275" s="34">
        <v>42120</v>
      </c>
      <c r="T1275" s="34">
        <v>42122</v>
      </c>
      <c r="U1275" s="29">
        <v>0.37</v>
      </c>
      <c r="V1275" s="26">
        <v>9</v>
      </c>
      <c r="W1275" s="29">
        <v>38.96</v>
      </c>
      <c r="X1275" s="26">
        <v>11712</v>
      </c>
      <c r="Y1275" s="35">
        <v>419.15</v>
      </c>
      <c r="Z1275" s="1" t="s">
        <v>3013</v>
      </c>
      <c r="AA1275" s="36">
        <v>2.3112000000000004</v>
      </c>
      <c r="AB1275" s="54">
        <v>17.142399999999999</v>
      </c>
      <c r="AC1275" s="54">
        <v>2.424177777777778</v>
      </c>
      <c r="AD1275" s="36">
        <v>35.338799999999999</v>
      </c>
    </row>
    <row r="1276" spans="1:30" s="37" customFormat="1" ht="15.75" customHeight="1" x14ac:dyDescent="0.2">
      <c r="A1276" s="26">
        <v>2380</v>
      </c>
      <c r="B1276" s="27" t="s">
        <v>2304</v>
      </c>
      <c r="C1276" s="27" t="s">
        <v>3094</v>
      </c>
      <c r="D1276" s="28">
        <v>7.0000000000000007E-2</v>
      </c>
      <c r="E1276" s="29">
        <v>3.38</v>
      </c>
      <c r="F1276" s="29">
        <v>0.85</v>
      </c>
      <c r="G1276" s="30" t="s">
        <v>39</v>
      </c>
      <c r="H1276" s="27" t="s">
        <v>3095</v>
      </c>
      <c r="I1276" s="27" t="s">
        <v>49</v>
      </c>
      <c r="J1276" s="27" t="s">
        <v>50</v>
      </c>
      <c r="K1276" s="27" t="s">
        <v>51</v>
      </c>
      <c r="L1276" s="31" t="s">
        <v>936</v>
      </c>
      <c r="M1276" s="32">
        <v>0.48</v>
      </c>
      <c r="N1276" s="27" t="s">
        <v>33</v>
      </c>
      <c r="O1276" s="27" t="s">
        <v>53</v>
      </c>
      <c r="P1276" s="27" t="s">
        <v>289</v>
      </c>
      <c r="Q1276" s="27" t="s">
        <v>2305</v>
      </c>
      <c r="R1276" s="33">
        <v>49505</v>
      </c>
      <c r="S1276" s="34">
        <v>42120</v>
      </c>
      <c r="T1276" s="34">
        <v>42122</v>
      </c>
      <c r="U1276" s="29">
        <v>19.04</v>
      </c>
      <c r="V1276" s="26">
        <v>9</v>
      </c>
      <c r="W1276" s="29">
        <v>29.08</v>
      </c>
      <c r="X1276" s="26">
        <v>86654</v>
      </c>
      <c r="Y1276" s="35">
        <v>3.31</v>
      </c>
      <c r="Z1276" s="1" t="s">
        <v>3012</v>
      </c>
      <c r="AA1276" s="36">
        <v>2.1294</v>
      </c>
      <c r="AB1276" s="54">
        <v>15.121599999999999</v>
      </c>
      <c r="AC1276" s="54">
        <v>1.5509333333333331</v>
      </c>
      <c r="AD1276" s="36">
        <v>7.0605999999999973</v>
      </c>
    </row>
    <row r="1277" spans="1:30" s="37" customFormat="1" ht="15.75" customHeight="1" x14ac:dyDescent="0.2">
      <c r="A1277" s="26">
        <v>2495</v>
      </c>
      <c r="B1277" s="27" t="s">
        <v>2303</v>
      </c>
      <c r="C1277" s="27" t="s">
        <v>48</v>
      </c>
      <c r="D1277" s="28">
        <v>0.06</v>
      </c>
      <c r="E1277" s="29">
        <v>4.28</v>
      </c>
      <c r="F1277" s="29">
        <v>0.94</v>
      </c>
      <c r="G1277" s="30" t="s">
        <v>39</v>
      </c>
      <c r="H1277" s="27" t="s">
        <v>40</v>
      </c>
      <c r="I1277" s="27" t="s">
        <v>49</v>
      </c>
      <c r="J1277" s="27" t="s">
        <v>50</v>
      </c>
      <c r="K1277" s="27" t="s">
        <v>51</v>
      </c>
      <c r="L1277" s="31" t="s">
        <v>481</v>
      </c>
      <c r="M1277" s="32">
        <v>0.56000000000000005</v>
      </c>
      <c r="N1277" s="27" t="s">
        <v>33</v>
      </c>
      <c r="O1277" s="27" t="s">
        <v>60</v>
      </c>
      <c r="P1277" s="27" t="s">
        <v>1060</v>
      </c>
      <c r="Q1277" s="27" t="s">
        <v>1661</v>
      </c>
      <c r="R1277" s="33">
        <v>82901</v>
      </c>
      <c r="S1277" s="34">
        <v>42120</v>
      </c>
      <c r="T1277" s="34">
        <v>42122</v>
      </c>
      <c r="U1277" s="29">
        <v>0.37</v>
      </c>
      <c r="V1277" s="26">
        <v>2</v>
      </c>
      <c r="W1277" s="29">
        <v>8.66</v>
      </c>
      <c r="X1277" s="26">
        <v>86885</v>
      </c>
      <c r="Y1277" s="35">
        <v>3.31</v>
      </c>
      <c r="Z1277" s="1" t="s">
        <v>3013</v>
      </c>
      <c r="AA1277" s="36">
        <v>0.51360000000000006</v>
      </c>
      <c r="AB1277" s="54">
        <v>3.8103999999999996</v>
      </c>
      <c r="AC1277" s="54">
        <v>2.4248000000000003</v>
      </c>
      <c r="AD1277" s="36">
        <v>6.8364000000000003</v>
      </c>
    </row>
    <row r="1278" spans="1:30" s="37" customFormat="1" ht="15.75" customHeight="1" x14ac:dyDescent="0.2">
      <c r="A1278" s="26">
        <v>983</v>
      </c>
      <c r="B1278" s="27" t="s">
        <v>2307</v>
      </c>
      <c r="C1278" s="27" t="s">
        <v>48</v>
      </c>
      <c r="D1278" s="28">
        <v>0.09</v>
      </c>
      <c r="E1278" s="29">
        <v>300.97000000000003</v>
      </c>
      <c r="F1278" s="29">
        <v>7.18</v>
      </c>
      <c r="G1278" s="30" t="s">
        <v>39</v>
      </c>
      <c r="H1278" s="27" t="s">
        <v>94</v>
      </c>
      <c r="I1278" s="27" t="s">
        <v>41</v>
      </c>
      <c r="J1278" s="27" t="s">
        <v>42</v>
      </c>
      <c r="K1278" s="27" t="s">
        <v>73</v>
      </c>
      <c r="L1278" s="31" t="s">
        <v>2209</v>
      </c>
      <c r="M1278" s="32">
        <v>0.48</v>
      </c>
      <c r="N1278" s="27" t="s">
        <v>33</v>
      </c>
      <c r="O1278" s="27" t="s">
        <v>34</v>
      </c>
      <c r="P1278" s="27" t="s">
        <v>45</v>
      </c>
      <c r="Q1278" s="27" t="s">
        <v>2308</v>
      </c>
      <c r="R1278" s="33">
        <v>72143</v>
      </c>
      <c r="S1278" s="34">
        <v>42121</v>
      </c>
      <c r="T1278" s="34">
        <v>42121</v>
      </c>
      <c r="U1278" s="29">
        <v>17.771999999999998</v>
      </c>
      <c r="V1278" s="26">
        <v>10</v>
      </c>
      <c r="W1278" s="29">
        <v>2848.38</v>
      </c>
      <c r="X1278" s="26">
        <v>90201</v>
      </c>
      <c r="Y1278" s="35">
        <v>58.01</v>
      </c>
      <c r="Z1278" s="1" t="s">
        <v>3011</v>
      </c>
      <c r="AA1278" s="36">
        <v>270.87300000000005</v>
      </c>
      <c r="AB1278" s="54">
        <v>1481.1576</v>
      </c>
      <c r="AC1278" s="54">
        <v>136.72224</v>
      </c>
      <c r="AD1278" s="36">
        <v>2552.5550000000003</v>
      </c>
    </row>
    <row r="1279" spans="1:30" s="37" customFormat="1" ht="15.75" customHeight="1" x14ac:dyDescent="0.2">
      <c r="A1279" s="26">
        <v>762</v>
      </c>
      <c r="B1279" s="27" t="s">
        <v>2309</v>
      </c>
      <c r="C1279" s="27" t="s">
        <v>3094</v>
      </c>
      <c r="D1279" s="28">
        <v>0</v>
      </c>
      <c r="E1279" s="29">
        <v>125.99</v>
      </c>
      <c r="F1279" s="29">
        <v>8.99</v>
      </c>
      <c r="G1279" s="30" t="s">
        <v>39</v>
      </c>
      <c r="H1279" s="27" t="s">
        <v>3095</v>
      </c>
      <c r="I1279" s="27" t="s">
        <v>41</v>
      </c>
      <c r="J1279" s="27" t="s">
        <v>135</v>
      </c>
      <c r="K1279" s="27" t="s">
        <v>73</v>
      </c>
      <c r="L1279" s="31" t="s">
        <v>775</v>
      </c>
      <c r="M1279" s="32">
        <v>0.56999999999999995</v>
      </c>
      <c r="N1279" s="27" t="s">
        <v>33</v>
      </c>
      <c r="O1279" s="27" t="s">
        <v>60</v>
      </c>
      <c r="P1279" s="27" t="s">
        <v>67</v>
      </c>
      <c r="Q1279" s="27" t="s">
        <v>2310</v>
      </c>
      <c r="R1279" s="33">
        <v>98661</v>
      </c>
      <c r="S1279" s="34">
        <v>42121</v>
      </c>
      <c r="T1279" s="34">
        <v>42123</v>
      </c>
      <c r="U1279" s="29">
        <v>613.89576</v>
      </c>
      <c r="V1279" s="26">
        <v>12</v>
      </c>
      <c r="W1279" s="29">
        <v>1362.2</v>
      </c>
      <c r="X1279" s="26">
        <v>87525</v>
      </c>
      <c r="Y1279" s="35">
        <v>300.88000000000005</v>
      </c>
      <c r="Z1279" s="1" t="s">
        <v>3013</v>
      </c>
      <c r="AA1279" s="36">
        <v>0</v>
      </c>
      <c r="AB1279" s="54">
        <v>585.74600000000009</v>
      </c>
      <c r="AC1279" s="54">
        <v>64.704499999999996</v>
      </c>
      <c r="AD1279" s="36">
        <v>739.31424000000004</v>
      </c>
    </row>
    <row r="1280" spans="1:30" s="37" customFormat="1" ht="15.75" customHeight="1" x14ac:dyDescent="0.2">
      <c r="A1280" s="26">
        <v>3320</v>
      </c>
      <c r="B1280" s="27" t="s">
        <v>2311</v>
      </c>
      <c r="C1280" s="27" t="s">
        <v>3094</v>
      </c>
      <c r="D1280" s="28">
        <v>0.09</v>
      </c>
      <c r="E1280" s="29">
        <v>40.97</v>
      </c>
      <c r="F1280" s="29">
        <v>8.99</v>
      </c>
      <c r="G1280" s="30" t="s">
        <v>87</v>
      </c>
      <c r="H1280" s="27" t="s">
        <v>3095</v>
      </c>
      <c r="I1280" s="27" t="s">
        <v>49</v>
      </c>
      <c r="J1280" s="27" t="s">
        <v>50</v>
      </c>
      <c r="K1280" s="27" t="s">
        <v>43</v>
      </c>
      <c r="L1280" s="31" t="s">
        <v>1735</v>
      </c>
      <c r="M1280" s="32">
        <v>0.59</v>
      </c>
      <c r="N1280" s="27" t="s">
        <v>33</v>
      </c>
      <c r="O1280" s="27" t="s">
        <v>34</v>
      </c>
      <c r="P1280" s="27" t="s">
        <v>400</v>
      </c>
      <c r="Q1280" s="27" t="s">
        <v>2116</v>
      </c>
      <c r="R1280" s="33">
        <v>38301</v>
      </c>
      <c r="S1280" s="34">
        <v>42121</v>
      </c>
      <c r="T1280" s="34">
        <v>42123</v>
      </c>
      <c r="U1280" s="29">
        <v>66.215999999999994</v>
      </c>
      <c r="V1280" s="26">
        <v>22</v>
      </c>
      <c r="W1280" s="29">
        <v>824.7</v>
      </c>
      <c r="X1280" s="26">
        <v>90103</v>
      </c>
      <c r="Y1280" s="35">
        <v>12.19</v>
      </c>
      <c r="Z1280" s="1" t="s">
        <v>3011</v>
      </c>
      <c r="AA1280" s="36">
        <v>81.120599999999996</v>
      </c>
      <c r="AB1280" s="54">
        <v>338.12700000000007</v>
      </c>
      <c r="AC1280" s="54">
        <v>22.116954545454547</v>
      </c>
      <c r="AD1280" s="36">
        <v>668.37340000000006</v>
      </c>
    </row>
    <row r="1281" spans="1:30" s="37" customFormat="1" ht="15.75" customHeight="1" x14ac:dyDescent="0.2">
      <c r="A1281" s="26">
        <v>2468</v>
      </c>
      <c r="B1281" s="27" t="s">
        <v>1611</v>
      </c>
      <c r="C1281" s="27" t="s">
        <v>26</v>
      </c>
      <c r="D1281" s="28">
        <v>0.09</v>
      </c>
      <c r="E1281" s="29">
        <v>58.1</v>
      </c>
      <c r="F1281" s="29">
        <v>1.49</v>
      </c>
      <c r="G1281" s="30" t="s">
        <v>87</v>
      </c>
      <c r="H1281" s="27" t="s">
        <v>71</v>
      </c>
      <c r="I1281" s="27" t="s">
        <v>49</v>
      </c>
      <c r="J1281" s="27" t="s">
        <v>72</v>
      </c>
      <c r="K1281" s="27" t="s">
        <v>73</v>
      </c>
      <c r="L1281" s="31" t="s">
        <v>622</v>
      </c>
      <c r="M1281" s="32">
        <v>0.38</v>
      </c>
      <c r="N1281" s="27" t="s">
        <v>33</v>
      </c>
      <c r="O1281" s="27" t="s">
        <v>34</v>
      </c>
      <c r="P1281" s="27" t="s">
        <v>97</v>
      </c>
      <c r="Q1281" s="27" t="s">
        <v>1613</v>
      </c>
      <c r="R1281" s="33">
        <v>28144</v>
      </c>
      <c r="S1281" s="34">
        <v>42121</v>
      </c>
      <c r="T1281" s="34">
        <v>42123</v>
      </c>
      <c r="U1281" s="29">
        <v>765.75</v>
      </c>
      <c r="V1281" s="26">
        <v>3</v>
      </c>
      <c r="W1281" s="29">
        <v>169.46</v>
      </c>
      <c r="X1281" s="26">
        <v>88135</v>
      </c>
      <c r="Y1281" s="35">
        <v>125.99</v>
      </c>
      <c r="Z1281" s="1" t="s">
        <v>3011</v>
      </c>
      <c r="AA1281" s="36">
        <v>15.687000000000001</v>
      </c>
      <c r="AB1281" s="54">
        <v>105.0652</v>
      </c>
      <c r="AC1281" s="54">
        <v>21.464933333333335</v>
      </c>
      <c r="AD1281" s="36">
        <v>-613.46699999999998</v>
      </c>
    </row>
    <row r="1282" spans="1:30" s="37" customFormat="1" ht="15.75" customHeight="1" x14ac:dyDescent="0.2">
      <c r="A1282" s="26">
        <v>3320</v>
      </c>
      <c r="B1282" s="27" t="s">
        <v>2311</v>
      </c>
      <c r="C1282" s="27" t="s">
        <v>3094</v>
      </c>
      <c r="D1282" s="28">
        <v>0.08</v>
      </c>
      <c r="E1282" s="29">
        <v>3.28</v>
      </c>
      <c r="F1282" s="29">
        <v>3.97</v>
      </c>
      <c r="G1282" s="30" t="s">
        <v>39</v>
      </c>
      <c r="H1282" s="27" t="s">
        <v>3095</v>
      </c>
      <c r="I1282" s="27" t="s">
        <v>49</v>
      </c>
      <c r="J1282" s="27" t="s">
        <v>50</v>
      </c>
      <c r="K1282" s="27" t="s">
        <v>51</v>
      </c>
      <c r="L1282" s="31" t="s">
        <v>245</v>
      </c>
      <c r="M1282" s="32">
        <v>0.56000000000000005</v>
      </c>
      <c r="N1282" s="27" t="s">
        <v>33</v>
      </c>
      <c r="O1282" s="27" t="s">
        <v>34</v>
      </c>
      <c r="P1282" s="27" t="s">
        <v>400</v>
      </c>
      <c r="Q1282" s="27" t="s">
        <v>2116</v>
      </c>
      <c r="R1282" s="33">
        <v>38301</v>
      </c>
      <c r="S1282" s="34">
        <v>42121</v>
      </c>
      <c r="T1282" s="34">
        <v>42122</v>
      </c>
      <c r="U1282" s="29">
        <v>0.42659999999999998</v>
      </c>
      <c r="V1282" s="26">
        <v>18</v>
      </c>
      <c r="W1282" s="29">
        <v>57.24</v>
      </c>
      <c r="X1282" s="26">
        <v>90103</v>
      </c>
      <c r="Y1282" s="35">
        <v>3.1999999999999997</v>
      </c>
      <c r="Z1282" s="1" t="s">
        <v>3011</v>
      </c>
      <c r="AA1282" s="36">
        <v>4.7231999999999994</v>
      </c>
      <c r="AB1282" s="54">
        <v>25.185599999999997</v>
      </c>
      <c r="AC1282" s="54">
        <v>1.7808000000000002</v>
      </c>
      <c r="AD1282" s="36">
        <v>48.120200000000004</v>
      </c>
    </row>
    <row r="1283" spans="1:30" s="37" customFormat="1" ht="15.75" customHeight="1" x14ac:dyDescent="0.2">
      <c r="A1283" s="26">
        <v>202</v>
      </c>
      <c r="B1283" s="27" t="s">
        <v>548</v>
      </c>
      <c r="C1283" s="27" t="s">
        <v>3094</v>
      </c>
      <c r="D1283" s="28">
        <v>0.09</v>
      </c>
      <c r="E1283" s="29">
        <v>12.28</v>
      </c>
      <c r="F1283" s="29">
        <v>4.8600000000000003</v>
      </c>
      <c r="G1283" s="30" t="s">
        <v>39</v>
      </c>
      <c r="H1283" s="27" t="s">
        <v>94</v>
      </c>
      <c r="I1283" s="27" t="s">
        <v>49</v>
      </c>
      <c r="J1283" s="27" t="s">
        <v>88</v>
      </c>
      <c r="K1283" s="27" t="s">
        <v>73</v>
      </c>
      <c r="L1283" s="31" t="s">
        <v>1860</v>
      </c>
      <c r="M1283" s="32">
        <v>0.38</v>
      </c>
      <c r="N1283" s="27" t="s">
        <v>33</v>
      </c>
      <c r="O1283" s="27" t="s">
        <v>53</v>
      </c>
      <c r="P1283" s="27" t="s">
        <v>207</v>
      </c>
      <c r="Q1283" s="27" t="s">
        <v>550</v>
      </c>
      <c r="R1283" s="33">
        <v>74006</v>
      </c>
      <c r="S1283" s="34">
        <v>42121</v>
      </c>
      <c r="T1283" s="34">
        <v>42122</v>
      </c>
      <c r="U1283" s="29">
        <v>1.73</v>
      </c>
      <c r="V1283" s="26">
        <v>3</v>
      </c>
      <c r="W1283" s="29">
        <v>34.65</v>
      </c>
      <c r="X1283" s="26">
        <v>88971</v>
      </c>
      <c r="Y1283" s="35">
        <v>40.879999999999995</v>
      </c>
      <c r="Z1283" s="1" t="s">
        <v>3012</v>
      </c>
      <c r="AA1283" s="36">
        <v>3.3155999999999999</v>
      </c>
      <c r="AB1283" s="54">
        <v>21.483000000000001</v>
      </c>
      <c r="AC1283" s="54">
        <v>4.3889999999999993</v>
      </c>
      <c r="AD1283" s="36">
        <v>24.744399999999999</v>
      </c>
    </row>
    <row r="1284" spans="1:30" s="37" customFormat="1" ht="15.75" customHeight="1" x14ac:dyDescent="0.2">
      <c r="A1284" s="26">
        <v>3011</v>
      </c>
      <c r="B1284" s="27" t="s">
        <v>2314</v>
      </c>
      <c r="C1284" s="27" t="s">
        <v>26</v>
      </c>
      <c r="D1284" s="28">
        <v>0.03</v>
      </c>
      <c r="E1284" s="29">
        <v>300.64999999999998</v>
      </c>
      <c r="F1284" s="29">
        <v>24.49</v>
      </c>
      <c r="G1284" s="30" t="s">
        <v>39</v>
      </c>
      <c r="H1284" s="27" t="s">
        <v>94</v>
      </c>
      <c r="I1284" s="27" t="s">
        <v>49</v>
      </c>
      <c r="J1284" s="27" t="s">
        <v>95</v>
      </c>
      <c r="K1284" s="27" t="s">
        <v>65</v>
      </c>
      <c r="L1284" s="31" t="s">
        <v>2315</v>
      </c>
      <c r="M1284" s="32">
        <v>0.52</v>
      </c>
      <c r="N1284" s="27" t="s">
        <v>33</v>
      </c>
      <c r="O1284" s="27" t="s">
        <v>111</v>
      </c>
      <c r="P1284" s="27" t="s">
        <v>403</v>
      </c>
      <c r="Q1284" s="27" t="s">
        <v>788</v>
      </c>
      <c r="R1284" s="33">
        <v>2113</v>
      </c>
      <c r="S1284" s="34">
        <v>42122</v>
      </c>
      <c r="T1284" s="34">
        <v>42124</v>
      </c>
      <c r="U1284" s="29">
        <v>1282.4960000000001</v>
      </c>
      <c r="V1284" s="26">
        <v>32</v>
      </c>
      <c r="W1284" s="29">
        <v>9705.4599999999991</v>
      </c>
      <c r="X1284" s="26">
        <v>7623</v>
      </c>
      <c r="Y1284" s="35">
        <v>6.4300000000000006</v>
      </c>
      <c r="Z1284" s="1" t="s">
        <v>3014</v>
      </c>
      <c r="AA1284" s="36">
        <v>288.62399999999997</v>
      </c>
      <c r="AB1284" s="54">
        <v>4658.6207999999997</v>
      </c>
      <c r="AC1284" s="54">
        <v>157.71372499999998</v>
      </c>
      <c r="AD1284" s="36">
        <v>8109.8499999999985</v>
      </c>
    </row>
    <row r="1285" spans="1:30" s="37" customFormat="1" ht="15.75" customHeight="1" x14ac:dyDescent="0.2">
      <c r="A1285" s="26">
        <v>3011</v>
      </c>
      <c r="B1285" s="27" t="s">
        <v>2314</v>
      </c>
      <c r="C1285" s="27" t="s">
        <v>26</v>
      </c>
      <c r="D1285" s="28">
        <v>0.1</v>
      </c>
      <c r="E1285" s="29">
        <v>104.85</v>
      </c>
      <c r="F1285" s="29">
        <v>4.6500000000000004</v>
      </c>
      <c r="G1285" s="30" t="s">
        <v>39</v>
      </c>
      <c r="H1285" s="27" t="s">
        <v>94</v>
      </c>
      <c r="I1285" s="27" t="s">
        <v>49</v>
      </c>
      <c r="J1285" s="27" t="s">
        <v>88</v>
      </c>
      <c r="K1285" s="27" t="s">
        <v>73</v>
      </c>
      <c r="L1285" s="31" t="s">
        <v>2316</v>
      </c>
      <c r="M1285" s="32">
        <v>0.37</v>
      </c>
      <c r="N1285" s="27" t="s">
        <v>33</v>
      </c>
      <c r="O1285" s="27" t="s">
        <v>111</v>
      </c>
      <c r="P1285" s="27" t="s">
        <v>403</v>
      </c>
      <c r="Q1285" s="27" t="s">
        <v>788</v>
      </c>
      <c r="R1285" s="33">
        <v>2113</v>
      </c>
      <c r="S1285" s="34">
        <v>42122</v>
      </c>
      <c r="T1285" s="34">
        <v>42123</v>
      </c>
      <c r="U1285" s="29">
        <v>1184.1199999999999</v>
      </c>
      <c r="V1285" s="26">
        <v>58</v>
      </c>
      <c r="W1285" s="29">
        <v>5582.63</v>
      </c>
      <c r="X1285" s="26">
        <v>7623</v>
      </c>
      <c r="Y1285" s="35">
        <v>300.62</v>
      </c>
      <c r="Z1285" s="1" t="s">
        <v>3014</v>
      </c>
      <c r="AA1285" s="36">
        <v>608.13</v>
      </c>
      <c r="AB1285" s="54">
        <v>3517.0569</v>
      </c>
      <c r="AC1285" s="54">
        <v>35.613329310344831</v>
      </c>
      <c r="AD1285" s="36">
        <v>3785.73</v>
      </c>
    </row>
    <row r="1286" spans="1:30" s="37" customFormat="1" ht="15.75" customHeight="1" x14ac:dyDescent="0.2">
      <c r="A1286" s="26">
        <v>1217</v>
      </c>
      <c r="B1286" s="27" t="s">
        <v>2325</v>
      </c>
      <c r="C1286" s="27" t="s">
        <v>116</v>
      </c>
      <c r="D1286" s="28">
        <v>0.09</v>
      </c>
      <c r="E1286" s="29">
        <v>130.97999999999999</v>
      </c>
      <c r="F1286" s="29">
        <v>30</v>
      </c>
      <c r="G1286" s="30" t="s">
        <v>27</v>
      </c>
      <c r="H1286" s="27" t="s">
        <v>3095</v>
      </c>
      <c r="I1286" s="27" t="s">
        <v>29</v>
      </c>
      <c r="J1286" s="27" t="s">
        <v>109</v>
      </c>
      <c r="K1286" s="27" t="s">
        <v>58</v>
      </c>
      <c r="L1286" s="31" t="s">
        <v>2199</v>
      </c>
      <c r="M1286" s="32">
        <v>0.78</v>
      </c>
      <c r="N1286" s="27" t="s">
        <v>33</v>
      </c>
      <c r="O1286" s="27" t="s">
        <v>111</v>
      </c>
      <c r="P1286" s="27" t="s">
        <v>403</v>
      </c>
      <c r="Q1286" s="27" t="s">
        <v>788</v>
      </c>
      <c r="R1286" s="33">
        <v>2112</v>
      </c>
      <c r="S1286" s="34">
        <v>42122</v>
      </c>
      <c r="T1286" s="34">
        <v>42125</v>
      </c>
      <c r="U1286" s="29">
        <v>-421.76</v>
      </c>
      <c r="V1286" s="26">
        <v>41</v>
      </c>
      <c r="W1286" s="29">
        <v>5258.94</v>
      </c>
      <c r="X1286" s="26">
        <v>54595</v>
      </c>
      <c r="Y1286" s="35">
        <v>49.93</v>
      </c>
      <c r="Z1286" s="1" t="s">
        <v>3014</v>
      </c>
      <c r="AA1286" s="36">
        <v>483.31619999999992</v>
      </c>
      <c r="AB1286" s="54">
        <v>1156.9667999999997</v>
      </c>
      <c r="AC1286" s="54">
        <v>100.04812682926828</v>
      </c>
      <c r="AD1286" s="36">
        <v>5167.3837999999996</v>
      </c>
    </row>
    <row r="1287" spans="1:30" s="37" customFormat="1" ht="15.75" customHeight="1" x14ac:dyDescent="0.2">
      <c r="A1287" s="26">
        <v>3011</v>
      </c>
      <c r="B1287" s="27" t="s">
        <v>2314</v>
      </c>
      <c r="C1287" s="27" t="s">
        <v>26</v>
      </c>
      <c r="D1287" s="28">
        <v>0.06</v>
      </c>
      <c r="E1287" s="29">
        <v>49.99</v>
      </c>
      <c r="F1287" s="29">
        <v>19.989999999999998</v>
      </c>
      <c r="G1287" s="30" t="s">
        <v>39</v>
      </c>
      <c r="H1287" s="27" t="s">
        <v>94</v>
      </c>
      <c r="I1287" s="27" t="s">
        <v>41</v>
      </c>
      <c r="J1287" s="27" t="s">
        <v>42</v>
      </c>
      <c r="K1287" s="27" t="s">
        <v>73</v>
      </c>
      <c r="L1287" s="31" t="s">
        <v>889</v>
      </c>
      <c r="M1287" s="32">
        <v>0.45</v>
      </c>
      <c r="N1287" s="27" t="s">
        <v>33</v>
      </c>
      <c r="O1287" s="27" t="s">
        <v>111</v>
      </c>
      <c r="P1287" s="27" t="s">
        <v>403</v>
      </c>
      <c r="Q1287" s="27" t="s">
        <v>788</v>
      </c>
      <c r="R1287" s="33">
        <v>2113</v>
      </c>
      <c r="S1287" s="34">
        <v>42122</v>
      </c>
      <c r="T1287" s="34">
        <v>42124</v>
      </c>
      <c r="U1287" s="29">
        <v>17.2</v>
      </c>
      <c r="V1287" s="26">
        <v>67</v>
      </c>
      <c r="W1287" s="29">
        <v>3247.54</v>
      </c>
      <c r="X1287" s="26">
        <v>7623</v>
      </c>
      <c r="Y1287" s="35">
        <v>104.75</v>
      </c>
      <c r="Z1287" s="1" t="s">
        <v>3014</v>
      </c>
      <c r="AA1287" s="36">
        <v>200.9598</v>
      </c>
      <c r="AB1287" s="54">
        <v>1786.1470000000002</v>
      </c>
      <c r="AC1287" s="54">
        <v>21.811835820895524</v>
      </c>
      <c r="AD1287" s="36">
        <v>3009.3901999999998</v>
      </c>
    </row>
    <row r="1288" spans="1:30" s="37" customFormat="1" ht="15.75" customHeight="1" x14ac:dyDescent="0.2">
      <c r="A1288" s="26">
        <v>3012</v>
      </c>
      <c r="B1288" s="27" t="s">
        <v>2317</v>
      </c>
      <c r="C1288" s="27" t="s">
        <v>26</v>
      </c>
      <c r="D1288" s="28">
        <v>0.03</v>
      </c>
      <c r="E1288" s="29">
        <v>300.64999999999998</v>
      </c>
      <c r="F1288" s="29">
        <v>24.49</v>
      </c>
      <c r="G1288" s="30" t="s">
        <v>39</v>
      </c>
      <c r="H1288" s="27" t="s">
        <v>94</v>
      </c>
      <c r="I1288" s="27" t="s">
        <v>49</v>
      </c>
      <c r="J1288" s="27" t="s">
        <v>95</v>
      </c>
      <c r="K1288" s="27" t="s">
        <v>65</v>
      </c>
      <c r="L1288" s="31" t="s">
        <v>2315</v>
      </c>
      <c r="M1288" s="32">
        <v>0.52</v>
      </c>
      <c r="N1288" s="27" t="s">
        <v>33</v>
      </c>
      <c r="O1288" s="27" t="s">
        <v>111</v>
      </c>
      <c r="P1288" s="27" t="s">
        <v>112</v>
      </c>
      <c r="Q1288" s="27" t="s">
        <v>2318</v>
      </c>
      <c r="R1288" s="33">
        <v>14609</v>
      </c>
      <c r="S1288" s="34">
        <v>42122</v>
      </c>
      <c r="T1288" s="34">
        <v>42124</v>
      </c>
      <c r="U1288" s="29">
        <v>1474.8704</v>
      </c>
      <c r="V1288" s="26">
        <v>8</v>
      </c>
      <c r="W1288" s="29">
        <v>2426.36</v>
      </c>
      <c r="X1288" s="26">
        <v>86346</v>
      </c>
      <c r="Y1288" s="35">
        <v>300.62</v>
      </c>
      <c r="Z1288" s="1" t="s">
        <v>3014</v>
      </c>
      <c r="AA1288" s="36">
        <v>72.155999999999992</v>
      </c>
      <c r="AB1288" s="54">
        <v>1164.6528000000001</v>
      </c>
      <c r="AC1288" s="54">
        <v>157.71340000000001</v>
      </c>
      <c r="AD1288" s="36">
        <v>854.84360000000015</v>
      </c>
    </row>
    <row r="1289" spans="1:30" s="37" customFormat="1" ht="15.75" customHeight="1" x14ac:dyDescent="0.2">
      <c r="A1289" s="26">
        <v>3012</v>
      </c>
      <c r="B1289" s="27" t="s">
        <v>2317</v>
      </c>
      <c r="C1289" s="27" t="s">
        <v>26</v>
      </c>
      <c r="D1289" s="28">
        <v>0.1</v>
      </c>
      <c r="E1289" s="29">
        <v>104.85</v>
      </c>
      <c r="F1289" s="29">
        <v>4.6500000000000004</v>
      </c>
      <c r="G1289" s="30" t="s">
        <v>39</v>
      </c>
      <c r="H1289" s="27" t="s">
        <v>94</v>
      </c>
      <c r="I1289" s="27" t="s">
        <v>49</v>
      </c>
      <c r="J1289" s="27" t="s">
        <v>88</v>
      </c>
      <c r="K1289" s="27" t="s">
        <v>73</v>
      </c>
      <c r="L1289" s="31" t="s">
        <v>2316</v>
      </c>
      <c r="M1289" s="32">
        <v>0.37</v>
      </c>
      <c r="N1289" s="27" t="s">
        <v>33</v>
      </c>
      <c r="O1289" s="27" t="s">
        <v>111</v>
      </c>
      <c r="P1289" s="27" t="s">
        <v>112</v>
      </c>
      <c r="Q1289" s="27" t="s">
        <v>2318</v>
      </c>
      <c r="R1289" s="33">
        <v>14609</v>
      </c>
      <c r="S1289" s="34">
        <v>42122</v>
      </c>
      <c r="T1289" s="34">
        <v>42123</v>
      </c>
      <c r="U1289" s="29">
        <v>929.79570000000001</v>
      </c>
      <c r="V1289" s="26">
        <v>14</v>
      </c>
      <c r="W1289" s="29">
        <v>1347.53</v>
      </c>
      <c r="X1289" s="26">
        <v>86346</v>
      </c>
      <c r="Y1289" s="35">
        <v>49.93</v>
      </c>
      <c r="Z1289" s="1" t="s">
        <v>3014</v>
      </c>
      <c r="AA1289" s="36">
        <v>146.79</v>
      </c>
      <c r="AB1289" s="54">
        <v>848.94389999999999</v>
      </c>
      <c r="AC1289" s="54">
        <v>35.613292857142859</v>
      </c>
      <c r="AD1289" s="36">
        <v>266.29430000000002</v>
      </c>
    </row>
    <row r="1290" spans="1:30" s="37" customFormat="1" ht="15.75" customHeight="1" x14ac:dyDescent="0.2">
      <c r="A1290" s="26">
        <v>1227</v>
      </c>
      <c r="B1290" s="27" t="s">
        <v>2328</v>
      </c>
      <c r="C1290" s="27" t="s">
        <v>116</v>
      </c>
      <c r="D1290" s="28">
        <v>0.09</v>
      </c>
      <c r="E1290" s="29">
        <v>130.97999999999999</v>
      </c>
      <c r="F1290" s="29">
        <v>30</v>
      </c>
      <c r="G1290" s="30" t="s">
        <v>27</v>
      </c>
      <c r="H1290" s="27" t="s">
        <v>3095</v>
      </c>
      <c r="I1290" s="27" t="s">
        <v>29</v>
      </c>
      <c r="J1290" s="27" t="s">
        <v>109</v>
      </c>
      <c r="K1290" s="27" t="s">
        <v>58</v>
      </c>
      <c r="L1290" s="31" t="s">
        <v>2199</v>
      </c>
      <c r="M1290" s="32">
        <v>0.78</v>
      </c>
      <c r="N1290" s="27" t="s">
        <v>33</v>
      </c>
      <c r="O1290" s="27" t="s">
        <v>111</v>
      </c>
      <c r="P1290" s="27" t="s">
        <v>633</v>
      </c>
      <c r="Q1290" s="27" t="s">
        <v>634</v>
      </c>
      <c r="R1290" s="33">
        <v>5403</v>
      </c>
      <c r="S1290" s="34">
        <v>42122</v>
      </c>
      <c r="T1290" s="34">
        <v>42125</v>
      </c>
      <c r="U1290" s="29">
        <v>-421.76</v>
      </c>
      <c r="V1290" s="26">
        <v>10</v>
      </c>
      <c r="W1290" s="29">
        <v>1282.67</v>
      </c>
      <c r="X1290" s="26">
        <v>90800</v>
      </c>
      <c r="Y1290" s="35">
        <v>104.75</v>
      </c>
      <c r="Z1290" s="1" t="s">
        <v>3014</v>
      </c>
      <c r="AA1290" s="36">
        <v>117.88199999999998</v>
      </c>
      <c r="AB1290" s="54">
        <v>282.18739999999997</v>
      </c>
      <c r="AC1290" s="54">
        <v>100.04826</v>
      </c>
      <c r="AD1290" s="36">
        <v>1556.5480000000002</v>
      </c>
    </row>
    <row r="1291" spans="1:30" s="37" customFormat="1" ht="15.75" customHeight="1" x14ac:dyDescent="0.2">
      <c r="A1291" s="26">
        <v>3012</v>
      </c>
      <c r="B1291" s="27" t="s">
        <v>2317</v>
      </c>
      <c r="C1291" s="27" t="s">
        <v>26</v>
      </c>
      <c r="D1291" s="28">
        <v>0.06</v>
      </c>
      <c r="E1291" s="29">
        <v>49.99</v>
      </c>
      <c r="F1291" s="29">
        <v>19.989999999999998</v>
      </c>
      <c r="G1291" s="30" t="s">
        <v>39</v>
      </c>
      <c r="H1291" s="27" t="s">
        <v>94</v>
      </c>
      <c r="I1291" s="27" t="s">
        <v>41</v>
      </c>
      <c r="J1291" s="27" t="s">
        <v>42</v>
      </c>
      <c r="K1291" s="27" t="s">
        <v>73</v>
      </c>
      <c r="L1291" s="31" t="s">
        <v>889</v>
      </c>
      <c r="M1291" s="32">
        <v>0.45</v>
      </c>
      <c r="N1291" s="27" t="s">
        <v>33</v>
      </c>
      <c r="O1291" s="27" t="s">
        <v>111</v>
      </c>
      <c r="P1291" s="27" t="s">
        <v>112</v>
      </c>
      <c r="Q1291" s="27" t="s">
        <v>2318</v>
      </c>
      <c r="R1291" s="33">
        <v>14609</v>
      </c>
      <c r="S1291" s="34">
        <v>42122</v>
      </c>
      <c r="T1291" s="34">
        <v>42124</v>
      </c>
      <c r="U1291" s="29">
        <v>19.78</v>
      </c>
      <c r="V1291" s="26">
        <v>17</v>
      </c>
      <c r="W1291" s="29">
        <v>824</v>
      </c>
      <c r="X1291" s="26">
        <v>86346</v>
      </c>
      <c r="Y1291" s="35">
        <v>48.809999999999995</v>
      </c>
      <c r="Z1291" s="1" t="s">
        <v>3014</v>
      </c>
      <c r="AA1291" s="36">
        <v>50.989800000000002</v>
      </c>
      <c r="AB1291" s="54">
        <v>453.20000000000005</v>
      </c>
      <c r="AC1291" s="54">
        <v>21.811764705882354</v>
      </c>
      <c r="AD1291" s="36">
        <v>733.24019999999996</v>
      </c>
    </row>
    <row r="1292" spans="1:30" s="37" customFormat="1" ht="15.75" customHeight="1" x14ac:dyDescent="0.2">
      <c r="A1292" s="26">
        <v>2912</v>
      </c>
      <c r="B1292" s="27" t="s">
        <v>2320</v>
      </c>
      <c r="C1292" s="27" t="s">
        <v>38</v>
      </c>
      <c r="D1292" s="28">
        <v>0.06</v>
      </c>
      <c r="E1292" s="29">
        <v>55.48</v>
      </c>
      <c r="F1292" s="29">
        <v>14.3</v>
      </c>
      <c r="G1292" s="30" t="s">
        <v>39</v>
      </c>
      <c r="H1292" s="27" t="s">
        <v>71</v>
      </c>
      <c r="I1292" s="27" t="s">
        <v>49</v>
      </c>
      <c r="J1292" s="27" t="s">
        <v>88</v>
      </c>
      <c r="K1292" s="27" t="s">
        <v>73</v>
      </c>
      <c r="L1292" s="31" t="s">
        <v>847</v>
      </c>
      <c r="M1292" s="32">
        <v>0.37</v>
      </c>
      <c r="N1292" s="27" t="s">
        <v>33</v>
      </c>
      <c r="O1292" s="27" t="s">
        <v>53</v>
      </c>
      <c r="P1292" s="27" t="s">
        <v>565</v>
      </c>
      <c r="Q1292" s="27" t="s">
        <v>2321</v>
      </c>
      <c r="R1292" s="33">
        <v>58201</v>
      </c>
      <c r="S1292" s="34">
        <v>42122</v>
      </c>
      <c r="T1292" s="34">
        <v>42124</v>
      </c>
      <c r="U1292" s="29">
        <v>443.02140000000003</v>
      </c>
      <c r="V1292" s="26">
        <v>12</v>
      </c>
      <c r="W1292" s="29">
        <v>642.05999999999995</v>
      </c>
      <c r="X1292" s="26">
        <v>87396</v>
      </c>
      <c r="Y1292" s="35">
        <v>5.9</v>
      </c>
      <c r="Z1292" s="1" t="s">
        <v>3012</v>
      </c>
      <c r="AA1292" s="36">
        <v>39.945599999999999</v>
      </c>
      <c r="AB1292" s="54">
        <v>404.49779999999998</v>
      </c>
      <c r="AC1292" s="54">
        <v>19.796849999999999</v>
      </c>
      <c r="AD1292" s="36">
        <v>144.79299999999989</v>
      </c>
    </row>
    <row r="1293" spans="1:30" s="37" customFormat="1" ht="15.75" customHeight="1" x14ac:dyDescent="0.2">
      <c r="A1293" s="26">
        <v>2254</v>
      </c>
      <c r="B1293" s="27" t="s">
        <v>825</v>
      </c>
      <c r="C1293" s="27" t="s">
        <v>38</v>
      </c>
      <c r="D1293" s="28">
        <v>0.1</v>
      </c>
      <c r="E1293" s="29">
        <v>48.91</v>
      </c>
      <c r="F1293" s="29">
        <v>5.97</v>
      </c>
      <c r="G1293" s="30" t="s">
        <v>39</v>
      </c>
      <c r="H1293" s="27" t="s">
        <v>94</v>
      </c>
      <c r="I1293" s="27" t="s">
        <v>49</v>
      </c>
      <c r="J1293" s="27" t="s">
        <v>88</v>
      </c>
      <c r="K1293" s="27" t="s">
        <v>73</v>
      </c>
      <c r="L1293" s="31" t="s">
        <v>2319</v>
      </c>
      <c r="M1293" s="32">
        <v>0.38</v>
      </c>
      <c r="N1293" s="27" t="s">
        <v>33</v>
      </c>
      <c r="O1293" s="27" t="s">
        <v>34</v>
      </c>
      <c r="P1293" s="27" t="s">
        <v>388</v>
      </c>
      <c r="Q1293" s="27" t="s">
        <v>827</v>
      </c>
      <c r="R1293" s="33">
        <v>42003</v>
      </c>
      <c r="S1293" s="34">
        <v>42122</v>
      </c>
      <c r="T1293" s="34">
        <v>42124</v>
      </c>
      <c r="U1293" s="29">
        <v>156.74340000000001</v>
      </c>
      <c r="V1293" s="26">
        <v>14</v>
      </c>
      <c r="W1293" s="29">
        <v>618.96</v>
      </c>
      <c r="X1293" s="26">
        <v>89279</v>
      </c>
      <c r="Y1293" s="35">
        <v>4.09</v>
      </c>
      <c r="Z1293" s="1" t="s">
        <v>3011</v>
      </c>
      <c r="AA1293" s="36">
        <v>68.474000000000004</v>
      </c>
      <c r="AB1293" s="54">
        <v>383.7552</v>
      </c>
      <c r="AC1293" s="54">
        <v>16.800342857142859</v>
      </c>
      <c r="AD1293" s="36">
        <v>387.77260000000001</v>
      </c>
    </row>
    <row r="1294" spans="1:30" s="37" customFormat="1" ht="15.75" customHeight="1" x14ac:dyDescent="0.2">
      <c r="A1294" s="26">
        <v>3359</v>
      </c>
      <c r="B1294" s="27" t="s">
        <v>2322</v>
      </c>
      <c r="C1294" s="27" t="s">
        <v>38</v>
      </c>
      <c r="D1294" s="28">
        <v>0.09</v>
      </c>
      <c r="E1294" s="29">
        <v>28.53</v>
      </c>
      <c r="F1294" s="29">
        <v>1.49</v>
      </c>
      <c r="G1294" s="30" t="s">
        <v>39</v>
      </c>
      <c r="H1294" s="27" t="s">
        <v>71</v>
      </c>
      <c r="I1294" s="27" t="s">
        <v>49</v>
      </c>
      <c r="J1294" s="27" t="s">
        <v>72</v>
      </c>
      <c r="K1294" s="27" t="s">
        <v>73</v>
      </c>
      <c r="L1294" s="31" t="s">
        <v>1832</v>
      </c>
      <c r="M1294" s="32">
        <v>0.38</v>
      </c>
      <c r="N1294" s="27" t="s">
        <v>33</v>
      </c>
      <c r="O1294" s="27" t="s">
        <v>53</v>
      </c>
      <c r="P1294" s="27" t="s">
        <v>357</v>
      </c>
      <c r="Q1294" s="27" t="s">
        <v>2323</v>
      </c>
      <c r="R1294" s="33">
        <v>53213</v>
      </c>
      <c r="S1294" s="34">
        <v>42122</v>
      </c>
      <c r="T1294" s="34">
        <v>42124</v>
      </c>
      <c r="U1294" s="29">
        <v>107.45462000000001</v>
      </c>
      <c r="V1294" s="26">
        <v>6</v>
      </c>
      <c r="W1294" s="29">
        <v>157.33000000000001</v>
      </c>
      <c r="X1294" s="26">
        <v>91437</v>
      </c>
      <c r="Y1294" s="35">
        <v>55.419999999999995</v>
      </c>
      <c r="Z1294" s="1" t="s">
        <v>3012</v>
      </c>
      <c r="AA1294" s="36">
        <v>15.406199999999998</v>
      </c>
      <c r="AB1294" s="54">
        <v>97.544600000000003</v>
      </c>
      <c r="AC1294" s="54">
        <v>9.9642333333333344</v>
      </c>
      <c r="AD1294" s="36">
        <v>32.979180000000014</v>
      </c>
    </row>
    <row r="1295" spans="1:30" s="37" customFormat="1" ht="15.75" customHeight="1" x14ac:dyDescent="0.2">
      <c r="A1295" s="26">
        <v>2254</v>
      </c>
      <c r="B1295" s="27" t="s">
        <v>825</v>
      </c>
      <c r="C1295" s="27" t="s">
        <v>38</v>
      </c>
      <c r="D1295" s="28">
        <v>0.08</v>
      </c>
      <c r="E1295" s="29">
        <v>5.98</v>
      </c>
      <c r="F1295" s="29">
        <v>5.46</v>
      </c>
      <c r="G1295" s="30" t="s">
        <v>39</v>
      </c>
      <c r="H1295" s="27" t="s">
        <v>94</v>
      </c>
      <c r="I1295" s="27" t="s">
        <v>49</v>
      </c>
      <c r="J1295" s="27" t="s">
        <v>88</v>
      </c>
      <c r="K1295" s="27" t="s">
        <v>73</v>
      </c>
      <c r="L1295" s="31" t="s">
        <v>1156</v>
      </c>
      <c r="M1295" s="32">
        <v>0.36</v>
      </c>
      <c r="N1295" s="27" t="s">
        <v>33</v>
      </c>
      <c r="O1295" s="27" t="s">
        <v>34</v>
      </c>
      <c r="P1295" s="27" t="s">
        <v>388</v>
      </c>
      <c r="Q1295" s="27" t="s">
        <v>827</v>
      </c>
      <c r="R1295" s="33">
        <v>42003</v>
      </c>
      <c r="S1295" s="34">
        <v>42122</v>
      </c>
      <c r="T1295" s="34">
        <v>42122</v>
      </c>
      <c r="U1295" s="29">
        <v>110.11799999999999</v>
      </c>
      <c r="V1295" s="26">
        <v>13</v>
      </c>
      <c r="W1295" s="29">
        <v>77.540000000000006</v>
      </c>
      <c r="X1295" s="26">
        <v>89279</v>
      </c>
      <c r="Y1295" s="35">
        <v>28.44</v>
      </c>
      <c r="Z1295" s="1" t="s">
        <v>3011</v>
      </c>
      <c r="AA1295" s="36">
        <v>6.2192000000000007</v>
      </c>
      <c r="AB1295" s="54">
        <v>49.625600000000006</v>
      </c>
      <c r="AC1295" s="54">
        <v>2.1472615384615388</v>
      </c>
      <c r="AD1295" s="36">
        <v>-44.257199999999983</v>
      </c>
    </row>
    <row r="1296" spans="1:30" s="37" customFormat="1" ht="15.75" customHeight="1" x14ac:dyDescent="0.2">
      <c r="A1296" s="26">
        <v>1226</v>
      </c>
      <c r="B1296" s="27" t="s">
        <v>2326</v>
      </c>
      <c r="C1296" s="27" t="s">
        <v>116</v>
      </c>
      <c r="D1296" s="28">
        <v>0.02</v>
      </c>
      <c r="E1296" s="29">
        <v>8.34</v>
      </c>
      <c r="F1296" s="29">
        <v>2.64</v>
      </c>
      <c r="G1296" s="30" t="s">
        <v>39</v>
      </c>
      <c r="H1296" s="27" t="s">
        <v>3095</v>
      </c>
      <c r="I1296" s="27" t="s">
        <v>49</v>
      </c>
      <c r="J1296" s="27" t="s">
        <v>568</v>
      </c>
      <c r="K1296" s="27" t="s">
        <v>43</v>
      </c>
      <c r="L1296" s="31" t="s">
        <v>883</v>
      </c>
      <c r="M1296" s="32">
        <v>0.59</v>
      </c>
      <c r="N1296" s="27" t="s">
        <v>33</v>
      </c>
      <c r="O1296" s="27" t="s">
        <v>111</v>
      </c>
      <c r="P1296" s="27" t="s">
        <v>584</v>
      </c>
      <c r="Q1296" s="27" t="s">
        <v>2327</v>
      </c>
      <c r="R1296" s="33">
        <v>2861</v>
      </c>
      <c r="S1296" s="34">
        <v>42122</v>
      </c>
      <c r="T1296" s="34">
        <v>42124</v>
      </c>
      <c r="U1296" s="29">
        <v>6.79</v>
      </c>
      <c r="V1296" s="26">
        <v>8</v>
      </c>
      <c r="W1296" s="29">
        <v>66.739999999999995</v>
      </c>
      <c r="X1296" s="26">
        <v>90800</v>
      </c>
      <c r="Y1296" s="35">
        <v>3.28</v>
      </c>
      <c r="Z1296" s="1" t="s">
        <v>3014</v>
      </c>
      <c r="AA1296" s="36">
        <v>1.3344</v>
      </c>
      <c r="AB1296" s="54">
        <v>27.363399999999999</v>
      </c>
      <c r="AC1296" s="54">
        <v>4.9220749999999995</v>
      </c>
      <c r="AD1296" s="36">
        <v>55.975599999999993</v>
      </c>
    </row>
    <row r="1297" spans="1:30" s="37" customFormat="1" ht="15.75" customHeight="1" x14ac:dyDescent="0.2">
      <c r="A1297" s="26">
        <v>2912</v>
      </c>
      <c r="B1297" s="27" t="s">
        <v>2320</v>
      </c>
      <c r="C1297" s="27" t="s">
        <v>38</v>
      </c>
      <c r="D1297" s="28">
        <v>0.04</v>
      </c>
      <c r="E1297" s="29">
        <v>4.13</v>
      </c>
      <c r="F1297" s="29">
        <v>0.99</v>
      </c>
      <c r="G1297" s="30" t="s">
        <v>87</v>
      </c>
      <c r="H1297" s="27" t="s">
        <v>71</v>
      </c>
      <c r="I1297" s="27" t="s">
        <v>49</v>
      </c>
      <c r="J1297" s="27" t="s">
        <v>152</v>
      </c>
      <c r="K1297" s="27" t="s">
        <v>73</v>
      </c>
      <c r="L1297" s="31" t="s">
        <v>326</v>
      </c>
      <c r="M1297" s="32">
        <v>0.39</v>
      </c>
      <c r="N1297" s="27" t="s">
        <v>33</v>
      </c>
      <c r="O1297" s="27" t="s">
        <v>53</v>
      </c>
      <c r="P1297" s="27" t="s">
        <v>565</v>
      </c>
      <c r="Q1297" s="27" t="s">
        <v>2321</v>
      </c>
      <c r="R1297" s="33">
        <v>58201</v>
      </c>
      <c r="S1297" s="34">
        <v>42122</v>
      </c>
      <c r="T1297" s="34">
        <v>42124</v>
      </c>
      <c r="U1297" s="29">
        <v>22.307700000000001</v>
      </c>
      <c r="V1297" s="26">
        <v>7</v>
      </c>
      <c r="W1297" s="29">
        <v>32.33</v>
      </c>
      <c r="X1297" s="26">
        <v>87396</v>
      </c>
      <c r="Y1297" s="35">
        <v>130.88999999999999</v>
      </c>
      <c r="Z1297" s="1" t="s">
        <v>3012</v>
      </c>
      <c r="AA1297" s="36">
        <v>1.1563999999999999</v>
      </c>
      <c r="AB1297" s="54">
        <v>19.721299999999999</v>
      </c>
      <c r="AC1297" s="54">
        <v>1.8012428571428571</v>
      </c>
      <c r="AD1297" s="36">
        <v>7.8758999999999979</v>
      </c>
    </row>
    <row r="1298" spans="1:30" s="37" customFormat="1" ht="15.75" customHeight="1" x14ac:dyDescent="0.2">
      <c r="A1298" s="26">
        <v>234</v>
      </c>
      <c r="B1298" s="27" t="s">
        <v>985</v>
      </c>
      <c r="C1298" s="27" t="s">
        <v>48</v>
      </c>
      <c r="D1298" s="28">
        <v>0.06</v>
      </c>
      <c r="E1298" s="29">
        <v>3.34</v>
      </c>
      <c r="F1298" s="29">
        <v>7.49</v>
      </c>
      <c r="G1298" s="30" t="s">
        <v>87</v>
      </c>
      <c r="H1298" s="27" t="s">
        <v>3095</v>
      </c>
      <c r="I1298" s="27" t="s">
        <v>49</v>
      </c>
      <c r="J1298" s="27" t="s">
        <v>50</v>
      </c>
      <c r="K1298" s="27" t="s">
        <v>51</v>
      </c>
      <c r="L1298" s="31" t="s">
        <v>2324</v>
      </c>
      <c r="M1298" s="32">
        <v>0.54</v>
      </c>
      <c r="N1298" s="27" t="s">
        <v>33</v>
      </c>
      <c r="O1298" s="27" t="s">
        <v>53</v>
      </c>
      <c r="P1298" s="27" t="s">
        <v>213</v>
      </c>
      <c r="Q1298" s="27" t="s">
        <v>737</v>
      </c>
      <c r="R1298" s="33">
        <v>50208</v>
      </c>
      <c r="S1298" s="34">
        <v>42122</v>
      </c>
      <c r="T1298" s="34">
        <v>42124</v>
      </c>
      <c r="U1298" s="29">
        <v>-175.86</v>
      </c>
      <c r="V1298" s="26">
        <v>8</v>
      </c>
      <c r="W1298" s="29">
        <v>27.45</v>
      </c>
      <c r="X1298" s="26">
        <v>90239</v>
      </c>
      <c r="Y1298" s="35">
        <v>8.32</v>
      </c>
      <c r="Z1298" s="1" t="s">
        <v>3012</v>
      </c>
      <c r="AA1298" s="36">
        <v>1.6032</v>
      </c>
      <c r="AB1298" s="54">
        <v>12.626999999999999</v>
      </c>
      <c r="AC1298" s="54">
        <v>1.852875</v>
      </c>
      <c r="AD1298" s="36">
        <v>194.21680000000001</v>
      </c>
    </row>
    <row r="1299" spans="1:30" s="37" customFormat="1" ht="15.75" customHeight="1" x14ac:dyDescent="0.2">
      <c r="A1299" s="26">
        <v>1439</v>
      </c>
      <c r="B1299" s="27" t="s">
        <v>2312</v>
      </c>
      <c r="C1299" s="27" t="s">
        <v>26</v>
      </c>
      <c r="D1299" s="28">
        <v>0.05</v>
      </c>
      <c r="E1299" s="29">
        <v>6.48</v>
      </c>
      <c r="F1299" s="29">
        <v>6.22</v>
      </c>
      <c r="G1299" s="30" t="s">
        <v>39</v>
      </c>
      <c r="H1299" s="27" t="s">
        <v>94</v>
      </c>
      <c r="I1299" s="27" t="s">
        <v>49</v>
      </c>
      <c r="J1299" s="27" t="s">
        <v>88</v>
      </c>
      <c r="K1299" s="27" t="s">
        <v>73</v>
      </c>
      <c r="L1299" s="31" t="s">
        <v>1078</v>
      </c>
      <c r="M1299" s="32">
        <v>0.37</v>
      </c>
      <c r="N1299" s="27" t="s">
        <v>33</v>
      </c>
      <c r="O1299" s="27" t="s">
        <v>111</v>
      </c>
      <c r="P1299" s="27" t="s">
        <v>317</v>
      </c>
      <c r="Q1299" s="27" t="s">
        <v>2313</v>
      </c>
      <c r="R1299" s="33">
        <v>44117</v>
      </c>
      <c r="S1299" s="34">
        <v>42122</v>
      </c>
      <c r="T1299" s="34">
        <v>42123</v>
      </c>
      <c r="U1299" s="29">
        <v>-29.07</v>
      </c>
      <c r="V1299" s="26">
        <v>3</v>
      </c>
      <c r="W1299" s="29">
        <v>21.46</v>
      </c>
      <c r="X1299" s="26">
        <v>90121</v>
      </c>
      <c r="Y1299" s="35">
        <v>130.88999999999999</v>
      </c>
      <c r="Z1299" s="1" t="s">
        <v>3014</v>
      </c>
      <c r="AA1299" s="36">
        <v>0.9720000000000002</v>
      </c>
      <c r="AB1299" s="54">
        <v>13.5198</v>
      </c>
      <c r="AC1299" s="54">
        <v>2.6467333333333332</v>
      </c>
      <c r="AD1299" s="36">
        <v>43.338000000000001</v>
      </c>
    </row>
    <row r="1300" spans="1:30" s="37" customFormat="1" ht="15.75" customHeight="1" x14ac:dyDescent="0.2">
      <c r="A1300" s="26">
        <v>2115</v>
      </c>
      <c r="B1300" s="27" t="s">
        <v>2337</v>
      </c>
      <c r="C1300" s="27" t="s">
        <v>116</v>
      </c>
      <c r="D1300" s="28">
        <v>0.02</v>
      </c>
      <c r="E1300" s="29">
        <v>95.95</v>
      </c>
      <c r="F1300" s="29">
        <v>74.349999999999994</v>
      </c>
      <c r="G1300" s="30" t="s">
        <v>27</v>
      </c>
      <c r="H1300" s="27" t="s">
        <v>94</v>
      </c>
      <c r="I1300" s="27" t="s">
        <v>29</v>
      </c>
      <c r="J1300" s="27" t="s">
        <v>109</v>
      </c>
      <c r="K1300" s="27" t="s">
        <v>58</v>
      </c>
      <c r="L1300" s="31" t="s">
        <v>2338</v>
      </c>
      <c r="M1300" s="32">
        <v>0.56999999999999995</v>
      </c>
      <c r="N1300" s="27" t="s">
        <v>33</v>
      </c>
      <c r="O1300" s="27" t="s">
        <v>34</v>
      </c>
      <c r="P1300" s="27" t="s">
        <v>242</v>
      </c>
      <c r="Q1300" s="27" t="s">
        <v>1635</v>
      </c>
      <c r="R1300" s="33">
        <v>22124</v>
      </c>
      <c r="S1300" s="34">
        <v>42123</v>
      </c>
      <c r="T1300" s="34">
        <v>42125</v>
      </c>
      <c r="U1300" s="29">
        <v>636.52200000000005</v>
      </c>
      <c r="V1300" s="26">
        <v>14</v>
      </c>
      <c r="W1300" s="29">
        <v>1377.46</v>
      </c>
      <c r="X1300" s="26">
        <v>88406</v>
      </c>
      <c r="Y1300" s="35">
        <v>5.94</v>
      </c>
      <c r="Z1300" s="1" t="s">
        <v>3011</v>
      </c>
      <c r="AA1300" s="36">
        <v>26.866</v>
      </c>
      <c r="AB1300" s="54">
        <v>592.30780000000004</v>
      </c>
      <c r="AC1300" s="54">
        <v>56.082299999999996</v>
      </c>
      <c r="AD1300" s="36">
        <v>639.72199999999998</v>
      </c>
    </row>
    <row r="1301" spans="1:30" s="37" customFormat="1" ht="15.75" customHeight="1" x14ac:dyDescent="0.2">
      <c r="A1301" s="26">
        <v>3393</v>
      </c>
      <c r="B1301" s="27" t="s">
        <v>1171</v>
      </c>
      <c r="C1301" s="27" t="s">
        <v>116</v>
      </c>
      <c r="D1301" s="28">
        <v>0.08</v>
      </c>
      <c r="E1301" s="29">
        <v>125.99</v>
      </c>
      <c r="F1301" s="29">
        <v>7.69</v>
      </c>
      <c r="G1301" s="30" t="s">
        <v>39</v>
      </c>
      <c r="H1301" s="27" t="s">
        <v>40</v>
      </c>
      <c r="I1301" s="27" t="s">
        <v>41</v>
      </c>
      <c r="J1301" s="27" t="s">
        <v>135</v>
      </c>
      <c r="K1301" s="27" t="s">
        <v>73</v>
      </c>
      <c r="L1301" s="31" t="s">
        <v>645</v>
      </c>
      <c r="M1301" s="32">
        <v>0.59</v>
      </c>
      <c r="N1301" s="27" t="s">
        <v>33</v>
      </c>
      <c r="O1301" s="27" t="s">
        <v>60</v>
      </c>
      <c r="P1301" s="27" t="s">
        <v>67</v>
      </c>
      <c r="Q1301" s="27" t="s">
        <v>1172</v>
      </c>
      <c r="R1301" s="33">
        <v>99163</v>
      </c>
      <c r="S1301" s="34">
        <v>42123</v>
      </c>
      <c r="T1301" s="34">
        <v>42124</v>
      </c>
      <c r="U1301" s="29">
        <v>374.625</v>
      </c>
      <c r="V1301" s="26">
        <v>7</v>
      </c>
      <c r="W1301" s="29">
        <v>710.36</v>
      </c>
      <c r="X1301" s="26">
        <v>87908</v>
      </c>
      <c r="Y1301" s="35">
        <v>20.979999999999997</v>
      </c>
      <c r="Z1301" s="1" t="s">
        <v>3013</v>
      </c>
      <c r="AA1301" s="36">
        <v>70.554400000000001</v>
      </c>
      <c r="AB1301" s="54">
        <v>291.24760000000003</v>
      </c>
      <c r="AC1301" s="54">
        <v>59.873199999999997</v>
      </c>
      <c r="AD1301" s="36">
        <v>257.49060000000003</v>
      </c>
    </row>
    <row r="1302" spans="1:30" s="37" customFormat="1" ht="15.75" customHeight="1" x14ac:dyDescent="0.2">
      <c r="A1302" s="26">
        <v>3381</v>
      </c>
      <c r="B1302" s="27" t="s">
        <v>1811</v>
      </c>
      <c r="C1302" s="27" t="s">
        <v>116</v>
      </c>
      <c r="D1302" s="28">
        <v>0.02</v>
      </c>
      <c r="E1302" s="29">
        <v>28.53</v>
      </c>
      <c r="F1302" s="29">
        <v>1.49</v>
      </c>
      <c r="G1302" s="30" t="s">
        <v>39</v>
      </c>
      <c r="H1302" s="27" t="s">
        <v>71</v>
      </c>
      <c r="I1302" s="27" t="s">
        <v>49</v>
      </c>
      <c r="J1302" s="27" t="s">
        <v>72</v>
      </c>
      <c r="K1302" s="27" t="s">
        <v>73</v>
      </c>
      <c r="L1302" s="31" t="s">
        <v>1832</v>
      </c>
      <c r="M1302" s="32">
        <v>0.38</v>
      </c>
      <c r="N1302" s="27" t="s">
        <v>33</v>
      </c>
      <c r="O1302" s="27" t="s">
        <v>34</v>
      </c>
      <c r="P1302" s="27" t="s">
        <v>75</v>
      </c>
      <c r="Q1302" s="27" t="s">
        <v>1813</v>
      </c>
      <c r="R1302" s="33">
        <v>31204</v>
      </c>
      <c r="S1302" s="34">
        <v>42123</v>
      </c>
      <c r="T1302" s="34">
        <v>42123</v>
      </c>
      <c r="U1302" s="29">
        <v>1.992</v>
      </c>
      <c r="V1302" s="26">
        <v>18</v>
      </c>
      <c r="W1302" s="29">
        <v>513.33000000000004</v>
      </c>
      <c r="X1302" s="26">
        <v>88840</v>
      </c>
      <c r="Y1302" s="35">
        <v>34.72</v>
      </c>
      <c r="Z1302" s="1" t="s">
        <v>3011</v>
      </c>
      <c r="AA1302" s="36">
        <v>10.270799999999999</v>
      </c>
      <c r="AB1302" s="54">
        <v>318.26460000000003</v>
      </c>
      <c r="AC1302" s="54">
        <v>10.836966666666667</v>
      </c>
      <c r="AD1302" s="36">
        <v>499.57720000000006</v>
      </c>
    </row>
    <row r="1303" spans="1:30" s="37" customFormat="1" ht="15.75" customHeight="1" x14ac:dyDescent="0.2">
      <c r="A1303" s="26">
        <v>617</v>
      </c>
      <c r="B1303" s="27" t="s">
        <v>2339</v>
      </c>
      <c r="C1303" s="27" t="s">
        <v>3094</v>
      </c>
      <c r="D1303" s="28">
        <v>0.02</v>
      </c>
      <c r="E1303" s="29">
        <v>20.89</v>
      </c>
      <c r="F1303" s="29">
        <v>11.52</v>
      </c>
      <c r="G1303" s="30" t="s">
        <v>39</v>
      </c>
      <c r="H1303" s="27" t="s">
        <v>40</v>
      </c>
      <c r="I1303" s="27" t="s">
        <v>49</v>
      </c>
      <c r="J1303" s="27" t="s">
        <v>78</v>
      </c>
      <c r="K1303" s="27" t="s">
        <v>73</v>
      </c>
      <c r="L1303" s="31" t="s">
        <v>1873</v>
      </c>
      <c r="M1303" s="32">
        <v>0.83</v>
      </c>
      <c r="N1303" s="27" t="s">
        <v>33</v>
      </c>
      <c r="O1303" s="27" t="s">
        <v>60</v>
      </c>
      <c r="P1303" s="27" t="s">
        <v>61</v>
      </c>
      <c r="Q1303" s="27" t="s">
        <v>952</v>
      </c>
      <c r="R1303" s="33">
        <v>81001</v>
      </c>
      <c r="S1303" s="34">
        <v>42123</v>
      </c>
      <c r="T1303" s="34">
        <v>42124</v>
      </c>
      <c r="U1303" s="29">
        <v>-276.11279999999999</v>
      </c>
      <c r="V1303" s="26">
        <v>13</v>
      </c>
      <c r="W1303" s="29">
        <v>279.27999999999997</v>
      </c>
      <c r="X1303" s="26">
        <v>88198</v>
      </c>
      <c r="Y1303" s="35">
        <v>35.96</v>
      </c>
      <c r="Z1303" s="1" t="s">
        <v>3013</v>
      </c>
      <c r="AA1303" s="36">
        <v>5.4314</v>
      </c>
      <c r="AB1303" s="54">
        <v>47.47760000000001</v>
      </c>
      <c r="AC1303" s="54">
        <v>17.830953846153843</v>
      </c>
      <c r="AD1303" s="36">
        <v>538.44139999999993</v>
      </c>
    </row>
    <row r="1304" spans="1:30" s="37" customFormat="1" ht="15.75" customHeight="1" x14ac:dyDescent="0.2">
      <c r="A1304" s="26">
        <v>782</v>
      </c>
      <c r="B1304" s="27" t="s">
        <v>2332</v>
      </c>
      <c r="C1304" s="27" t="s">
        <v>38</v>
      </c>
      <c r="D1304" s="28">
        <v>0.04</v>
      </c>
      <c r="E1304" s="29">
        <v>34.76</v>
      </c>
      <c r="F1304" s="29">
        <v>5.49</v>
      </c>
      <c r="G1304" s="30" t="s">
        <v>39</v>
      </c>
      <c r="H1304" s="27" t="s">
        <v>3095</v>
      </c>
      <c r="I1304" s="27" t="s">
        <v>49</v>
      </c>
      <c r="J1304" s="27" t="s">
        <v>78</v>
      </c>
      <c r="K1304" s="27" t="s">
        <v>73</v>
      </c>
      <c r="L1304" s="31" t="s">
        <v>2333</v>
      </c>
      <c r="M1304" s="32">
        <v>0.6</v>
      </c>
      <c r="N1304" s="27" t="s">
        <v>33</v>
      </c>
      <c r="O1304" s="27" t="s">
        <v>60</v>
      </c>
      <c r="P1304" s="27" t="s">
        <v>90</v>
      </c>
      <c r="Q1304" s="27" t="s">
        <v>2334</v>
      </c>
      <c r="R1304" s="33">
        <v>90604</v>
      </c>
      <c r="S1304" s="34">
        <v>42123</v>
      </c>
      <c r="T1304" s="34">
        <v>42124</v>
      </c>
      <c r="U1304" s="29">
        <v>192.51689999999999</v>
      </c>
      <c r="V1304" s="26">
        <v>8</v>
      </c>
      <c r="W1304" s="29">
        <v>279.01</v>
      </c>
      <c r="X1304" s="26">
        <v>90962</v>
      </c>
      <c r="Y1304" s="35">
        <v>95.93</v>
      </c>
      <c r="Z1304" s="1" t="s">
        <v>3013</v>
      </c>
      <c r="AA1304" s="36">
        <v>11.123199999999999</v>
      </c>
      <c r="AB1304" s="54">
        <v>111.604</v>
      </c>
      <c r="AC1304" s="54">
        <v>20.925749999999997</v>
      </c>
      <c r="AD1304" s="36">
        <v>69.879899999999992</v>
      </c>
    </row>
    <row r="1305" spans="1:30" s="37" customFormat="1" ht="15.75" customHeight="1" x14ac:dyDescent="0.2">
      <c r="A1305" s="26">
        <v>2353</v>
      </c>
      <c r="B1305" s="27" t="s">
        <v>2329</v>
      </c>
      <c r="C1305" s="27" t="s">
        <v>26</v>
      </c>
      <c r="D1305" s="28">
        <v>0.04</v>
      </c>
      <c r="E1305" s="29">
        <v>5.98</v>
      </c>
      <c r="F1305" s="29">
        <v>0.96</v>
      </c>
      <c r="G1305" s="30" t="s">
        <v>39</v>
      </c>
      <c r="H1305" s="27" t="s">
        <v>94</v>
      </c>
      <c r="I1305" s="27" t="s">
        <v>49</v>
      </c>
      <c r="J1305" s="27" t="s">
        <v>50</v>
      </c>
      <c r="K1305" s="27" t="s">
        <v>51</v>
      </c>
      <c r="L1305" s="31" t="s">
        <v>1267</v>
      </c>
      <c r="M1305" s="32">
        <v>0.6</v>
      </c>
      <c r="N1305" s="27" t="s">
        <v>33</v>
      </c>
      <c r="O1305" s="27" t="s">
        <v>111</v>
      </c>
      <c r="P1305" s="27" t="s">
        <v>418</v>
      </c>
      <c r="Q1305" s="27" t="s">
        <v>2330</v>
      </c>
      <c r="R1305" s="33">
        <v>21040</v>
      </c>
      <c r="S1305" s="34">
        <v>42123</v>
      </c>
      <c r="T1305" s="34">
        <v>42124</v>
      </c>
      <c r="U1305" s="29">
        <v>52.697600000000001</v>
      </c>
      <c r="V1305" s="26">
        <v>22</v>
      </c>
      <c r="W1305" s="29">
        <v>131.79</v>
      </c>
      <c r="X1305" s="26">
        <v>86164</v>
      </c>
      <c r="Y1305" s="35">
        <v>28.51</v>
      </c>
      <c r="Z1305" s="1" t="s">
        <v>3014</v>
      </c>
      <c r="AA1305" s="36">
        <v>5.2624000000000004</v>
      </c>
      <c r="AB1305" s="54">
        <v>52.716000000000001</v>
      </c>
      <c r="AC1305" s="54">
        <v>3.5942727272727271</v>
      </c>
      <c r="AD1305" s="36">
        <v>72.86999999999999</v>
      </c>
    </row>
    <row r="1306" spans="1:30" s="37" customFormat="1" ht="15.75" customHeight="1" x14ac:dyDescent="0.2">
      <c r="A1306" s="26">
        <v>803</v>
      </c>
      <c r="B1306" s="27" t="s">
        <v>2335</v>
      </c>
      <c r="C1306" s="27" t="s">
        <v>116</v>
      </c>
      <c r="D1306" s="28">
        <v>0.03</v>
      </c>
      <c r="E1306" s="29">
        <v>35.99</v>
      </c>
      <c r="F1306" s="29">
        <v>5</v>
      </c>
      <c r="G1306" s="30" t="s">
        <v>39</v>
      </c>
      <c r="H1306" s="27" t="s">
        <v>3095</v>
      </c>
      <c r="I1306" s="27" t="s">
        <v>41</v>
      </c>
      <c r="J1306" s="27" t="s">
        <v>135</v>
      </c>
      <c r="K1306" s="27" t="s">
        <v>73</v>
      </c>
      <c r="L1306" s="31" t="s">
        <v>951</v>
      </c>
      <c r="M1306" s="32">
        <v>0.85</v>
      </c>
      <c r="N1306" s="27" t="s">
        <v>33</v>
      </c>
      <c r="O1306" s="27" t="s">
        <v>34</v>
      </c>
      <c r="P1306" s="27" t="s">
        <v>123</v>
      </c>
      <c r="Q1306" s="27" t="s">
        <v>2336</v>
      </c>
      <c r="R1306" s="33">
        <v>32168</v>
      </c>
      <c r="S1306" s="34">
        <v>42123</v>
      </c>
      <c r="T1306" s="34">
        <v>42124</v>
      </c>
      <c r="U1306" s="29">
        <v>-184.548</v>
      </c>
      <c r="V1306" s="26">
        <v>3</v>
      </c>
      <c r="W1306" s="29">
        <v>93.82</v>
      </c>
      <c r="X1306" s="26">
        <v>90048</v>
      </c>
      <c r="Y1306" s="35">
        <v>125.91</v>
      </c>
      <c r="Z1306" s="1" t="s">
        <v>3011</v>
      </c>
      <c r="AA1306" s="36">
        <v>3.2391000000000005</v>
      </c>
      <c r="AB1306" s="54">
        <v>14.073</v>
      </c>
      <c r="AC1306" s="54">
        <v>26.582333333333331</v>
      </c>
      <c r="AD1306" s="36">
        <v>270.12889999999999</v>
      </c>
    </row>
    <row r="1307" spans="1:30" s="37" customFormat="1" ht="15.75" customHeight="1" x14ac:dyDescent="0.2">
      <c r="A1307" s="26">
        <v>618</v>
      </c>
      <c r="B1307" s="27" t="s">
        <v>1814</v>
      </c>
      <c r="C1307" s="27" t="s">
        <v>3094</v>
      </c>
      <c r="D1307" s="28">
        <v>0.06</v>
      </c>
      <c r="E1307" s="29">
        <v>5.38</v>
      </c>
      <c r="F1307" s="29">
        <v>5.24</v>
      </c>
      <c r="G1307" s="30" t="s">
        <v>87</v>
      </c>
      <c r="H1307" s="27" t="s">
        <v>40</v>
      </c>
      <c r="I1307" s="27" t="s">
        <v>49</v>
      </c>
      <c r="J1307" s="27" t="s">
        <v>72</v>
      </c>
      <c r="K1307" s="27" t="s">
        <v>73</v>
      </c>
      <c r="L1307" s="31" t="s">
        <v>2341</v>
      </c>
      <c r="M1307" s="32">
        <v>0.36</v>
      </c>
      <c r="N1307" s="27" t="s">
        <v>33</v>
      </c>
      <c r="O1307" s="27" t="s">
        <v>60</v>
      </c>
      <c r="P1307" s="27" t="s">
        <v>61</v>
      </c>
      <c r="Q1307" s="27" t="s">
        <v>1815</v>
      </c>
      <c r="R1307" s="33">
        <v>81007</v>
      </c>
      <c r="S1307" s="34">
        <v>42123</v>
      </c>
      <c r="T1307" s="34">
        <v>42124</v>
      </c>
      <c r="U1307" s="29">
        <v>-64.670940000000002</v>
      </c>
      <c r="V1307" s="26">
        <v>14</v>
      </c>
      <c r="W1307" s="29">
        <v>81.819999999999993</v>
      </c>
      <c r="X1307" s="26">
        <v>88198</v>
      </c>
      <c r="Y1307" s="35">
        <v>15.55</v>
      </c>
      <c r="Z1307" s="1" t="s">
        <v>3013</v>
      </c>
      <c r="AA1307" s="36">
        <v>4.5191999999999997</v>
      </c>
      <c r="AB1307" s="54">
        <v>52.364799999999995</v>
      </c>
      <c r="AC1307" s="54">
        <v>2.1039428571428567</v>
      </c>
      <c r="AD1307" s="36">
        <v>136.73174</v>
      </c>
    </row>
    <row r="1308" spans="1:30" s="37" customFormat="1" ht="15.75" customHeight="1" x14ac:dyDescent="0.2">
      <c r="A1308" s="26">
        <v>617</v>
      </c>
      <c r="B1308" s="27" t="s">
        <v>2339</v>
      </c>
      <c r="C1308" s="27" t="s">
        <v>3094</v>
      </c>
      <c r="D1308" s="28">
        <v>0.02</v>
      </c>
      <c r="E1308" s="29">
        <v>15.57</v>
      </c>
      <c r="F1308" s="29">
        <v>1.39</v>
      </c>
      <c r="G1308" s="30" t="s">
        <v>39</v>
      </c>
      <c r="H1308" s="27" t="s">
        <v>40</v>
      </c>
      <c r="I1308" s="27" t="s">
        <v>49</v>
      </c>
      <c r="J1308" s="27" t="s">
        <v>345</v>
      </c>
      <c r="K1308" s="27" t="s">
        <v>73</v>
      </c>
      <c r="L1308" s="31" t="s">
        <v>2340</v>
      </c>
      <c r="M1308" s="32">
        <v>0.38</v>
      </c>
      <c r="N1308" s="27" t="s">
        <v>33</v>
      </c>
      <c r="O1308" s="27" t="s">
        <v>60</v>
      </c>
      <c r="P1308" s="27" t="s">
        <v>61</v>
      </c>
      <c r="Q1308" s="27" t="s">
        <v>952</v>
      </c>
      <c r="R1308" s="33">
        <v>81001</v>
      </c>
      <c r="S1308" s="34">
        <v>42123</v>
      </c>
      <c r="T1308" s="34">
        <v>42124</v>
      </c>
      <c r="U1308" s="29">
        <v>23.5428</v>
      </c>
      <c r="V1308" s="26">
        <v>3</v>
      </c>
      <c r="W1308" s="29">
        <v>46.23</v>
      </c>
      <c r="X1308" s="26">
        <v>88198</v>
      </c>
      <c r="Y1308" s="35">
        <v>20.87</v>
      </c>
      <c r="Z1308" s="1" t="s">
        <v>3013</v>
      </c>
      <c r="AA1308" s="36">
        <v>0.93420000000000003</v>
      </c>
      <c r="AB1308" s="54">
        <v>28.662599999999998</v>
      </c>
      <c r="AC1308" s="54">
        <v>5.8557999999999995</v>
      </c>
      <c r="AD1308" s="36">
        <v>20.362999999999996</v>
      </c>
    </row>
    <row r="1309" spans="1:30" s="37" customFormat="1" ht="15.75" customHeight="1" x14ac:dyDescent="0.2">
      <c r="A1309" s="26">
        <v>2353</v>
      </c>
      <c r="B1309" s="27" t="s">
        <v>2329</v>
      </c>
      <c r="C1309" s="27" t="s">
        <v>26</v>
      </c>
      <c r="D1309" s="28">
        <v>0.01</v>
      </c>
      <c r="E1309" s="29">
        <v>20.99</v>
      </c>
      <c r="F1309" s="29">
        <v>0.99</v>
      </c>
      <c r="G1309" s="30" t="s">
        <v>39</v>
      </c>
      <c r="H1309" s="27" t="s">
        <v>94</v>
      </c>
      <c r="I1309" s="27" t="s">
        <v>41</v>
      </c>
      <c r="J1309" s="27" t="s">
        <v>135</v>
      </c>
      <c r="K1309" s="27" t="s">
        <v>51</v>
      </c>
      <c r="L1309" s="31" t="s">
        <v>2331</v>
      </c>
      <c r="M1309" s="32">
        <v>0.56999999999999995</v>
      </c>
      <c r="N1309" s="27" t="s">
        <v>33</v>
      </c>
      <c r="O1309" s="27" t="s">
        <v>111</v>
      </c>
      <c r="P1309" s="27" t="s">
        <v>418</v>
      </c>
      <c r="Q1309" s="27" t="s">
        <v>2330</v>
      </c>
      <c r="R1309" s="33">
        <v>21040</v>
      </c>
      <c r="S1309" s="34">
        <v>42123</v>
      </c>
      <c r="T1309" s="34">
        <v>42124</v>
      </c>
      <c r="U1309" s="29">
        <v>-78.194159999999997</v>
      </c>
      <c r="V1309" s="26">
        <v>2</v>
      </c>
      <c r="W1309" s="29">
        <v>35.33</v>
      </c>
      <c r="X1309" s="26">
        <v>86164</v>
      </c>
      <c r="Y1309" s="35">
        <v>5.32</v>
      </c>
      <c r="Z1309" s="1" t="s">
        <v>3014</v>
      </c>
      <c r="AA1309" s="36">
        <v>0.41979999999999995</v>
      </c>
      <c r="AB1309" s="54">
        <v>15.1919</v>
      </c>
      <c r="AC1309" s="54">
        <v>10.069049999999999</v>
      </c>
      <c r="AD1309" s="36">
        <v>112.11436</v>
      </c>
    </row>
    <row r="1310" spans="1:30" s="37" customFormat="1" ht="15.75" customHeight="1" x14ac:dyDescent="0.2">
      <c r="A1310" s="26">
        <v>618</v>
      </c>
      <c r="B1310" s="27" t="s">
        <v>1814</v>
      </c>
      <c r="C1310" s="27" t="s">
        <v>3094</v>
      </c>
      <c r="D1310" s="28">
        <v>0.03</v>
      </c>
      <c r="E1310" s="29">
        <v>7.35</v>
      </c>
      <c r="F1310" s="29">
        <v>5.96</v>
      </c>
      <c r="G1310" s="30" t="s">
        <v>39</v>
      </c>
      <c r="H1310" s="27" t="s">
        <v>40</v>
      </c>
      <c r="I1310" s="27" t="s">
        <v>49</v>
      </c>
      <c r="J1310" s="27" t="s">
        <v>88</v>
      </c>
      <c r="K1310" s="27" t="s">
        <v>73</v>
      </c>
      <c r="L1310" s="31" t="s">
        <v>2342</v>
      </c>
      <c r="M1310" s="32">
        <v>0.38</v>
      </c>
      <c r="N1310" s="27" t="s">
        <v>33</v>
      </c>
      <c r="O1310" s="27" t="s">
        <v>60</v>
      </c>
      <c r="P1310" s="27" t="s">
        <v>61</v>
      </c>
      <c r="Q1310" s="27" t="s">
        <v>1815</v>
      </c>
      <c r="R1310" s="33">
        <v>81007</v>
      </c>
      <c r="S1310" s="34">
        <v>42123</v>
      </c>
      <c r="T1310" s="34">
        <v>42124</v>
      </c>
      <c r="U1310" s="29">
        <v>-11.113200000000001</v>
      </c>
      <c r="V1310" s="26">
        <v>1</v>
      </c>
      <c r="W1310" s="29">
        <v>13.16</v>
      </c>
      <c r="X1310" s="26">
        <v>88198</v>
      </c>
      <c r="Y1310" s="35">
        <v>7.3199999999999994</v>
      </c>
      <c r="Z1310" s="1" t="s">
        <v>3013</v>
      </c>
      <c r="AA1310" s="36">
        <v>0.22049999999999997</v>
      </c>
      <c r="AB1310" s="54">
        <v>8.1592000000000002</v>
      </c>
      <c r="AC1310" s="54">
        <v>5.0007999999999999</v>
      </c>
      <c r="AD1310" s="36">
        <v>18.092700000000001</v>
      </c>
    </row>
    <row r="1311" spans="1:30" s="37" customFormat="1" ht="15.75" customHeight="1" x14ac:dyDescent="0.2">
      <c r="A1311" s="26">
        <v>640</v>
      </c>
      <c r="B1311" s="27" t="s">
        <v>1185</v>
      </c>
      <c r="C1311" s="27" t="s">
        <v>26</v>
      </c>
      <c r="D1311" s="28">
        <v>0</v>
      </c>
      <c r="E1311" s="29">
        <v>195.99</v>
      </c>
      <c r="F1311" s="29">
        <v>4.2</v>
      </c>
      <c r="G1311" s="30" t="s">
        <v>87</v>
      </c>
      <c r="H1311" s="27" t="s">
        <v>40</v>
      </c>
      <c r="I1311" s="27" t="s">
        <v>41</v>
      </c>
      <c r="J1311" s="27" t="s">
        <v>135</v>
      </c>
      <c r="K1311" s="27" t="s">
        <v>73</v>
      </c>
      <c r="L1311" s="31" t="s">
        <v>2345</v>
      </c>
      <c r="M1311" s="32">
        <v>0.56999999999999995</v>
      </c>
      <c r="N1311" s="27" t="s">
        <v>33</v>
      </c>
      <c r="O1311" s="27" t="s">
        <v>60</v>
      </c>
      <c r="P1311" s="27" t="s">
        <v>67</v>
      </c>
      <c r="Q1311" s="27" t="s">
        <v>142</v>
      </c>
      <c r="R1311" s="33">
        <v>98119</v>
      </c>
      <c r="S1311" s="34">
        <v>42124</v>
      </c>
      <c r="T1311" s="34">
        <v>42126</v>
      </c>
      <c r="U1311" s="29">
        <v>1030.509</v>
      </c>
      <c r="V1311" s="26">
        <v>24</v>
      </c>
      <c r="W1311" s="29">
        <v>4170.87</v>
      </c>
      <c r="X1311" s="26">
        <v>45380</v>
      </c>
      <c r="Y1311" s="35">
        <v>65.929999999999993</v>
      </c>
      <c r="Z1311" s="1" t="s">
        <v>3013</v>
      </c>
      <c r="AA1311" s="36">
        <v>0</v>
      </c>
      <c r="AB1311" s="54">
        <v>1793.4741000000001</v>
      </c>
      <c r="AC1311" s="54">
        <v>99.058162499999995</v>
      </c>
      <c r="AD1311" s="36">
        <v>3136.1610000000001</v>
      </c>
    </row>
    <row r="1312" spans="1:30" s="37" customFormat="1" ht="15.75" customHeight="1" x14ac:dyDescent="0.2">
      <c r="A1312" s="26">
        <v>640</v>
      </c>
      <c r="B1312" s="27" t="s">
        <v>1185</v>
      </c>
      <c r="C1312" s="27" t="s">
        <v>26</v>
      </c>
      <c r="D1312" s="28">
        <v>0.06</v>
      </c>
      <c r="E1312" s="29">
        <v>65.989999999999995</v>
      </c>
      <c r="F1312" s="29">
        <v>8.8000000000000007</v>
      </c>
      <c r="G1312" s="30" t="s">
        <v>87</v>
      </c>
      <c r="H1312" s="27" t="s">
        <v>40</v>
      </c>
      <c r="I1312" s="27" t="s">
        <v>41</v>
      </c>
      <c r="J1312" s="27" t="s">
        <v>135</v>
      </c>
      <c r="K1312" s="27" t="s">
        <v>73</v>
      </c>
      <c r="L1312" s="31" t="s">
        <v>452</v>
      </c>
      <c r="M1312" s="32">
        <v>0.57999999999999996</v>
      </c>
      <c r="N1312" s="27" t="s">
        <v>33</v>
      </c>
      <c r="O1312" s="27" t="s">
        <v>60</v>
      </c>
      <c r="P1312" s="27" t="s">
        <v>67</v>
      </c>
      <c r="Q1312" s="27" t="s">
        <v>142</v>
      </c>
      <c r="R1312" s="33">
        <v>98119</v>
      </c>
      <c r="S1312" s="34">
        <v>42124</v>
      </c>
      <c r="T1312" s="34">
        <v>42125</v>
      </c>
      <c r="U1312" s="29">
        <v>288.08999999999997</v>
      </c>
      <c r="V1312" s="26">
        <v>34</v>
      </c>
      <c r="W1312" s="29">
        <v>1912.98</v>
      </c>
      <c r="X1312" s="26">
        <v>45380</v>
      </c>
      <c r="Y1312" s="35">
        <v>195.99</v>
      </c>
      <c r="Z1312" s="1" t="s">
        <v>3013</v>
      </c>
      <c r="AA1312" s="36">
        <v>134.61959999999999</v>
      </c>
      <c r="AB1312" s="54">
        <v>803.4516000000001</v>
      </c>
      <c r="AC1312" s="54">
        <v>32.633188235294114</v>
      </c>
      <c r="AD1312" s="36">
        <v>1481.4704000000002</v>
      </c>
    </row>
    <row r="1313" spans="1:30" s="37" customFormat="1" ht="15.75" customHeight="1" x14ac:dyDescent="0.2">
      <c r="A1313" s="26">
        <v>638</v>
      </c>
      <c r="B1313" s="27" t="s">
        <v>2343</v>
      </c>
      <c r="C1313" s="27" t="s">
        <v>26</v>
      </c>
      <c r="D1313" s="28">
        <v>0</v>
      </c>
      <c r="E1313" s="29">
        <v>195.99</v>
      </c>
      <c r="F1313" s="29">
        <v>4.2</v>
      </c>
      <c r="G1313" s="30" t="s">
        <v>87</v>
      </c>
      <c r="H1313" s="27" t="s">
        <v>40</v>
      </c>
      <c r="I1313" s="27" t="s">
        <v>41</v>
      </c>
      <c r="J1313" s="27" t="s">
        <v>135</v>
      </c>
      <c r="K1313" s="27" t="s">
        <v>73</v>
      </c>
      <c r="L1313" s="31" t="s">
        <v>2345</v>
      </c>
      <c r="M1313" s="32">
        <v>0.56999999999999995</v>
      </c>
      <c r="N1313" s="27" t="s">
        <v>33</v>
      </c>
      <c r="O1313" s="27" t="s">
        <v>60</v>
      </c>
      <c r="P1313" s="27" t="s">
        <v>90</v>
      </c>
      <c r="Q1313" s="27" t="s">
        <v>2344</v>
      </c>
      <c r="R1313" s="33">
        <v>95062</v>
      </c>
      <c r="S1313" s="34">
        <v>42124</v>
      </c>
      <c r="T1313" s="34">
        <v>42126</v>
      </c>
      <c r="U1313" s="29">
        <v>719.47680000000003</v>
      </c>
      <c r="V1313" s="26">
        <v>6</v>
      </c>
      <c r="W1313" s="29">
        <v>1042.72</v>
      </c>
      <c r="X1313" s="26">
        <v>87954</v>
      </c>
      <c r="Y1313" s="35">
        <v>65.929999999999993</v>
      </c>
      <c r="Z1313" s="1" t="s">
        <v>3013</v>
      </c>
      <c r="AA1313" s="36">
        <v>0</v>
      </c>
      <c r="AB1313" s="54">
        <v>448.36960000000005</v>
      </c>
      <c r="AC1313" s="54">
        <v>99.058399999999992</v>
      </c>
      <c r="AD1313" s="36">
        <v>319.04319999999996</v>
      </c>
    </row>
    <row r="1314" spans="1:30" s="37" customFormat="1" ht="15.75" customHeight="1" x14ac:dyDescent="0.2">
      <c r="A1314" s="26">
        <v>855</v>
      </c>
      <c r="B1314" s="27" t="s">
        <v>2349</v>
      </c>
      <c r="C1314" s="27" t="s">
        <v>26</v>
      </c>
      <c r="D1314" s="28">
        <v>0.02</v>
      </c>
      <c r="E1314" s="29">
        <v>24.98</v>
      </c>
      <c r="F1314" s="29">
        <v>8.7899999999999991</v>
      </c>
      <c r="G1314" s="30" t="s">
        <v>39</v>
      </c>
      <c r="H1314" s="27" t="s">
        <v>94</v>
      </c>
      <c r="I1314" s="27" t="s">
        <v>49</v>
      </c>
      <c r="J1314" s="27" t="s">
        <v>78</v>
      </c>
      <c r="K1314" s="27" t="s">
        <v>73</v>
      </c>
      <c r="L1314" s="31" t="s">
        <v>2350</v>
      </c>
      <c r="M1314" s="32">
        <v>0.66</v>
      </c>
      <c r="N1314" s="27" t="s">
        <v>33</v>
      </c>
      <c r="O1314" s="27" t="s">
        <v>111</v>
      </c>
      <c r="P1314" s="27" t="s">
        <v>248</v>
      </c>
      <c r="Q1314" s="27" t="s">
        <v>2351</v>
      </c>
      <c r="R1314" s="33">
        <v>6810</v>
      </c>
      <c r="S1314" s="34">
        <v>42124</v>
      </c>
      <c r="T1314" s="34">
        <v>42125</v>
      </c>
      <c r="U1314" s="29">
        <v>4.3148</v>
      </c>
      <c r="V1314" s="26">
        <v>23</v>
      </c>
      <c r="W1314" s="29">
        <v>606.51</v>
      </c>
      <c r="X1314" s="26">
        <v>88571</v>
      </c>
      <c r="Y1314" s="35">
        <v>195.99</v>
      </c>
      <c r="Z1314" s="1" t="s">
        <v>3014</v>
      </c>
      <c r="AA1314" s="36">
        <v>11.4908</v>
      </c>
      <c r="AB1314" s="54">
        <v>206.21339999999998</v>
      </c>
      <c r="AC1314" s="54">
        <v>17.404200000000003</v>
      </c>
      <c r="AD1314" s="36">
        <v>581.9144</v>
      </c>
    </row>
    <row r="1315" spans="1:30" s="37" customFormat="1" ht="15.75" customHeight="1" x14ac:dyDescent="0.2">
      <c r="A1315" s="26">
        <v>638</v>
      </c>
      <c r="B1315" s="27" t="s">
        <v>2343</v>
      </c>
      <c r="C1315" s="27" t="s">
        <v>26</v>
      </c>
      <c r="D1315" s="28">
        <v>0.06</v>
      </c>
      <c r="E1315" s="29">
        <v>65.989999999999995</v>
      </c>
      <c r="F1315" s="29">
        <v>8.8000000000000007</v>
      </c>
      <c r="G1315" s="30" t="s">
        <v>87</v>
      </c>
      <c r="H1315" s="27" t="s">
        <v>40</v>
      </c>
      <c r="I1315" s="27" t="s">
        <v>41</v>
      </c>
      <c r="J1315" s="27" t="s">
        <v>135</v>
      </c>
      <c r="K1315" s="27" t="s">
        <v>73</v>
      </c>
      <c r="L1315" s="31" t="s">
        <v>452</v>
      </c>
      <c r="M1315" s="32">
        <v>0.57999999999999996</v>
      </c>
      <c r="N1315" s="27" t="s">
        <v>33</v>
      </c>
      <c r="O1315" s="27" t="s">
        <v>60</v>
      </c>
      <c r="P1315" s="27" t="s">
        <v>90</v>
      </c>
      <c r="Q1315" s="27" t="s">
        <v>2344</v>
      </c>
      <c r="R1315" s="33">
        <v>95062</v>
      </c>
      <c r="S1315" s="34">
        <v>42124</v>
      </c>
      <c r="T1315" s="34">
        <v>42125</v>
      </c>
      <c r="U1315" s="29">
        <v>288.08999999999997</v>
      </c>
      <c r="V1315" s="26">
        <v>9</v>
      </c>
      <c r="W1315" s="29">
        <v>506.38</v>
      </c>
      <c r="X1315" s="26">
        <v>87954</v>
      </c>
      <c r="Y1315" s="35">
        <v>1.2</v>
      </c>
      <c r="Z1315" s="1" t="s">
        <v>3013</v>
      </c>
      <c r="AA1315" s="36">
        <v>35.634599999999999</v>
      </c>
      <c r="AB1315" s="54">
        <v>212.67960000000002</v>
      </c>
      <c r="AC1315" s="54">
        <v>32.633377777777774</v>
      </c>
      <c r="AD1315" s="36">
        <v>173.85540000000003</v>
      </c>
    </row>
    <row r="1316" spans="1:30" s="37" customFormat="1" ht="15.75" customHeight="1" x14ac:dyDescent="0.2">
      <c r="A1316" s="26">
        <v>1352</v>
      </c>
      <c r="B1316" s="27" t="s">
        <v>2355</v>
      </c>
      <c r="C1316" s="27" t="s">
        <v>38</v>
      </c>
      <c r="D1316" s="28">
        <v>0.05</v>
      </c>
      <c r="E1316" s="29">
        <v>17.670000000000002</v>
      </c>
      <c r="F1316" s="29">
        <v>8.99</v>
      </c>
      <c r="G1316" s="30" t="s">
        <v>39</v>
      </c>
      <c r="H1316" s="27" t="s">
        <v>71</v>
      </c>
      <c r="I1316" s="27" t="s">
        <v>29</v>
      </c>
      <c r="J1316" s="27" t="s">
        <v>126</v>
      </c>
      <c r="K1316" s="27" t="s">
        <v>43</v>
      </c>
      <c r="L1316" s="31" t="s">
        <v>2056</v>
      </c>
      <c r="M1316" s="32">
        <v>0.47</v>
      </c>
      <c r="N1316" s="27" t="s">
        <v>33</v>
      </c>
      <c r="O1316" s="27" t="s">
        <v>111</v>
      </c>
      <c r="P1316" s="27" t="s">
        <v>418</v>
      </c>
      <c r="Q1316" s="27" t="s">
        <v>1701</v>
      </c>
      <c r="R1316" s="33">
        <v>20746</v>
      </c>
      <c r="S1316" s="34">
        <v>42124</v>
      </c>
      <c r="T1316" s="34">
        <v>42125</v>
      </c>
      <c r="U1316" s="29">
        <v>46.036799999999999</v>
      </c>
      <c r="V1316" s="26">
        <v>16</v>
      </c>
      <c r="W1316" s="29">
        <v>283.44</v>
      </c>
      <c r="X1316" s="26">
        <v>88234</v>
      </c>
      <c r="Y1316" s="35">
        <v>1.7</v>
      </c>
      <c r="Z1316" s="1" t="s">
        <v>3014</v>
      </c>
      <c r="AA1316" s="36">
        <v>14.136000000000003</v>
      </c>
      <c r="AB1316" s="54">
        <v>150.22320000000002</v>
      </c>
      <c r="AC1316" s="54">
        <v>8.3260499999999986</v>
      </c>
      <c r="AD1316" s="36">
        <v>214.27719999999999</v>
      </c>
    </row>
    <row r="1317" spans="1:30" s="37" customFormat="1" ht="15.75" customHeight="1" x14ac:dyDescent="0.2">
      <c r="A1317" s="26">
        <v>2823</v>
      </c>
      <c r="B1317" s="27" t="s">
        <v>2358</v>
      </c>
      <c r="C1317" s="27" t="s">
        <v>48</v>
      </c>
      <c r="D1317" s="28">
        <v>0.02</v>
      </c>
      <c r="E1317" s="29">
        <v>21.98</v>
      </c>
      <c r="F1317" s="29">
        <v>2.87</v>
      </c>
      <c r="G1317" s="30" t="s">
        <v>39</v>
      </c>
      <c r="H1317" s="27" t="s">
        <v>94</v>
      </c>
      <c r="I1317" s="27" t="s">
        <v>49</v>
      </c>
      <c r="J1317" s="27" t="s">
        <v>50</v>
      </c>
      <c r="K1317" s="27" t="s">
        <v>43</v>
      </c>
      <c r="L1317" s="31" t="s">
        <v>1738</v>
      </c>
      <c r="M1317" s="32">
        <v>0.55000000000000004</v>
      </c>
      <c r="N1317" s="27" t="s">
        <v>33</v>
      </c>
      <c r="O1317" s="27" t="s">
        <v>60</v>
      </c>
      <c r="P1317" s="27" t="s">
        <v>296</v>
      </c>
      <c r="Q1317" s="27" t="s">
        <v>2359</v>
      </c>
      <c r="R1317" s="33">
        <v>89031</v>
      </c>
      <c r="S1317" s="34">
        <v>42124</v>
      </c>
      <c r="T1317" s="34">
        <v>42126</v>
      </c>
      <c r="U1317" s="29">
        <v>165.6345</v>
      </c>
      <c r="V1317" s="26">
        <v>11</v>
      </c>
      <c r="W1317" s="29">
        <v>240.05</v>
      </c>
      <c r="X1317" s="26">
        <v>87240</v>
      </c>
      <c r="Y1317" s="35">
        <v>24.96</v>
      </c>
      <c r="Z1317" s="1" t="s">
        <v>3013</v>
      </c>
      <c r="AA1317" s="36">
        <v>4.8355999999999995</v>
      </c>
      <c r="AB1317" s="54">
        <v>108.02249999999999</v>
      </c>
      <c r="AC1317" s="54">
        <v>12.002500000000001</v>
      </c>
      <c r="AD1317" s="36">
        <v>66.709900000000005</v>
      </c>
    </row>
    <row r="1318" spans="1:30" s="37" customFormat="1" ht="15.75" customHeight="1" x14ac:dyDescent="0.2">
      <c r="A1318" s="26">
        <v>858</v>
      </c>
      <c r="B1318" s="27" t="s">
        <v>2352</v>
      </c>
      <c r="C1318" s="27" t="s">
        <v>26</v>
      </c>
      <c r="D1318" s="28">
        <v>0.05</v>
      </c>
      <c r="E1318" s="29">
        <v>35.99</v>
      </c>
      <c r="F1318" s="29">
        <v>5.99</v>
      </c>
      <c r="G1318" s="30" t="s">
        <v>87</v>
      </c>
      <c r="H1318" s="27" t="s">
        <v>94</v>
      </c>
      <c r="I1318" s="27" t="s">
        <v>41</v>
      </c>
      <c r="J1318" s="27" t="s">
        <v>135</v>
      </c>
      <c r="K1318" s="27" t="s">
        <v>51</v>
      </c>
      <c r="L1318" s="31" t="s">
        <v>1372</v>
      </c>
      <c r="M1318" s="32">
        <v>0.38</v>
      </c>
      <c r="N1318" s="27" t="s">
        <v>33</v>
      </c>
      <c r="O1318" s="27" t="s">
        <v>111</v>
      </c>
      <c r="P1318" s="27" t="s">
        <v>331</v>
      </c>
      <c r="Q1318" s="27" t="s">
        <v>1658</v>
      </c>
      <c r="R1318" s="33">
        <v>4240</v>
      </c>
      <c r="S1318" s="34">
        <v>42124</v>
      </c>
      <c r="T1318" s="34">
        <v>42126</v>
      </c>
      <c r="U1318" s="29">
        <v>-125.83296</v>
      </c>
      <c r="V1318" s="26">
        <v>2</v>
      </c>
      <c r="W1318" s="29">
        <v>64.89</v>
      </c>
      <c r="X1318" s="26">
        <v>88571</v>
      </c>
      <c r="Y1318" s="35">
        <v>35.940000000000005</v>
      </c>
      <c r="Z1318" s="1" t="s">
        <v>3014</v>
      </c>
      <c r="AA1318" s="36">
        <v>3.5990000000000002</v>
      </c>
      <c r="AB1318" s="54">
        <v>40.2318</v>
      </c>
      <c r="AC1318" s="54">
        <v>12.3291</v>
      </c>
      <c r="AD1318" s="36">
        <v>181.13396</v>
      </c>
    </row>
    <row r="1319" spans="1:30" s="37" customFormat="1" ht="15.75" customHeight="1" x14ac:dyDescent="0.2">
      <c r="A1319" s="26">
        <v>2704</v>
      </c>
      <c r="B1319" s="27" t="s">
        <v>2353</v>
      </c>
      <c r="C1319" s="27" t="s">
        <v>48</v>
      </c>
      <c r="D1319" s="28">
        <v>0.03</v>
      </c>
      <c r="E1319" s="29">
        <v>13.48</v>
      </c>
      <c r="F1319" s="29">
        <v>4.51</v>
      </c>
      <c r="G1319" s="30" t="s">
        <v>87</v>
      </c>
      <c r="H1319" s="27" t="s">
        <v>40</v>
      </c>
      <c r="I1319" s="27" t="s">
        <v>49</v>
      </c>
      <c r="J1319" s="27" t="s">
        <v>78</v>
      </c>
      <c r="K1319" s="27" t="s">
        <v>73</v>
      </c>
      <c r="L1319" s="31" t="s">
        <v>1781</v>
      </c>
      <c r="M1319" s="32">
        <v>0.59</v>
      </c>
      <c r="N1319" s="27" t="s">
        <v>33</v>
      </c>
      <c r="O1319" s="27" t="s">
        <v>34</v>
      </c>
      <c r="P1319" s="27" t="s">
        <v>123</v>
      </c>
      <c r="Q1319" s="27" t="s">
        <v>2354</v>
      </c>
      <c r="R1319" s="33">
        <v>32503</v>
      </c>
      <c r="S1319" s="34">
        <v>42124</v>
      </c>
      <c r="T1319" s="34">
        <v>42128</v>
      </c>
      <c r="U1319" s="29">
        <v>-256.01799999999997</v>
      </c>
      <c r="V1319" s="26">
        <v>4</v>
      </c>
      <c r="W1319" s="29">
        <v>59.49</v>
      </c>
      <c r="X1319" s="26">
        <v>91408</v>
      </c>
      <c r="Y1319" s="35">
        <v>3.54</v>
      </c>
      <c r="Z1319" s="1" t="s">
        <v>3011</v>
      </c>
      <c r="AA1319" s="36">
        <v>1.6175999999999999</v>
      </c>
      <c r="AB1319" s="54">
        <v>24.390900000000002</v>
      </c>
      <c r="AC1319" s="54">
        <v>8.774775</v>
      </c>
      <c r="AD1319" s="36">
        <v>309.38039999999995</v>
      </c>
    </row>
    <row r="1320" spans="1:30" s="37" customFormat="1" ht="15.75" customHeight="1" x14ac:dyDescent="0.2">
      <c r="A1320" s="26">
        <v>1347</v>
      </c>
      <c r="B1320" s="27" t="s">
        <v>2356</v>
      </c>
      <c r="C1320" s="27" t="s">
        <v>48</v>
      </c>
      <c r="D1320" s="28">
        <v>0.1</v>
      </c>
      <c r="E1320" s="29">
        <v>2.62</v>
      </c>
      <c r="F1320" s="29">
        <v>0.8</v>
      </c>
      <c r="G1320" s="30" t="s">
        <v>39</v>
      </c>
      <c r="H1320" s="27" t="s">
        <v>71</v>
      </c>
      <c r="I1320" s="27" t="s">
        <v>49</v>
      </c>
      <c r="J1320" s="27" t="s">
        <v>176</v>
      </c>
      <c r="K1320" s="27" t="s">
        <v>51</v>
      </c>
      <c r="L1320" s="31" t="s">
        <v>2124</v>
      </c>
      <c r="M1320" s="32">
        <v>0.39</v>
      </c>
      <c r="N1320" s="27" t="s">
        <v>33</v>
      </c>
      <c r="O1320" s="27" t="s">
        <v>34</v>
      </c>
      <c r="P1320" s="27" t="s">
        <v>123</v>
      </c>
      <c r="Q1320" s="27" t="s">
        <v>2357</v>
      </c>
      <c r="R1320" s="33">
        <v>33511</v>
      </c>
      <c r="S1320" s="34">
        <v>42124</v>
      </c>
      <c r="T1320" s="34">
        <v>42130</v>
      </c>
      <c r="U1320" s="29">
        <v>-94.490899999999996</v>
      </c>
      <c r="V1320" s="26">
        <v>21</v>
      </c>
      <c r="W1320" s="29">
        <v>51.86</v>
      </c>
      <c r="X1320" s="26">
        <v>89686</v>
      </c>
      <c r="Y1320" s="35">
        <v>17.62</v>
      </c>
      <c r="Z1320" s="1" t="s">
        <v>3011</v>
      </c>
      <c r="AA1320" s="36">
        <v>5.5020000000000007</v>
      </c>
      <c r="AB1320" s="54">
        <v>31.634599999999999</v>
      </c>
      <c r="AC1320" s="54">
        <v>0.9631142857142857</v>
      </c>
      <c r="AD1320" s="36">
        <v>140.0489</v>
      </c>
    </row>
    <row r="1321" spans="1:30" s="37" customFormat="1" ht="15.75" customHeight="1" x14ac:dyDescent="0.2">
      <c r="A1321" s="26">
        <v>854</v>
      </c>
      <c r="B1321" s="27" t="s">
        <v>2347</v>
      </c>
      <c r="C1321" s="27" t="s">
        <v>26</v>
      </c>
      <c r="D1321" s="28">
        <v>0.06</v>
      </c>
      <c r="E1321" s="29">
        <v>1.76</v>
      </c>
      <c r="F1321" s="29">
        <v>0.7</v>
      </c>
      <c r="G1321" s="30" t="s">
        <v>39</v>
      </c>
      <c r="H1321" s="27" t="s">
        <v>94</v>
      </c>
      <c r="I1321" s="27" t="s">
        <v>49</v>
      </c>
      <c r="J1321" s="27" t="s">
        <v>50</v>
      </c>
      <c r="K1321" s="27" t="s">
        <v>51</v>
      </c>
      <c r="L1321" s="31" t="s">
        <v>1663</v>
      </c>
      <c r="M1321" s="32">
        <v>0.56000000000000005</v>
      </c>
      <c r="N1321" s="27" t="s">
        <v>33</v>
      </c>
      <c r="O1321" s="27" t="s">
        <v>111</v>
      </c>
      <c r="P1321" s="27" t="s">
        <v>248</v>
      </c>
      <c r="Q1321" s="27" t="s">
        <v>2348</v>
      </c>
      <c r="R1321" s="33">
        <v>6405</v>
      </c>
      <c r="S1321" s="34">
        <v>42124</v>
      </c>
      <c r="T1321" s="34">
        <v>42126</v>
      </c>
      <c r="U1321" s="29">
        <v>1.2236</v>
      </c>
      <c r="V1321" s="26">
        <v>22</v>
      </c>
      <c r="W1321" s="29">
        <v>39.26</v>
      </c>
      <c r="X1321" s="26">
        <v>88571</v>
      </c>
      <c r="Y1321" s="35">
        <v>2.52</v>
      </c>
      <c r="Z1321" s="1" t="s">
        <v>3014</v>
      </c>
      <c r="AA1321" s="36">
        <v>2.3231999999999999</v>
      </c>
      <c r="AB1321" s="54">
        <v>17.274399999999996</v>
      </c>
      <c r="AC1321" s="54">
        <v>0.99934545454545454</v>
      </c>
      <c r="AD1321" s="36">
        <v>35.013199999999998</v>
      </c>
    </row>
    <row r="1322" spans="1:30" s="37" customFormat="1" ht="15.75" customHeight="1" x14ac:dyDescent="0.2">
      <c r="A1322" s="26">
        <v>1989</v>
      </c>
      <c r="B1322" s="27" t="s">
        <v>693</v>
      </c>
      <c r="C1322" s="27" t="s">
        <v>116</v>
      </c>
      <c r="D1322" s="28">
        <v>0.1</v>
      </c>
      <c r="E1322" s="29">
        <v>1.6</v>
      </c>
      <c r="F1322" s="29">
        <v>1.29</v>
      </c>
      <c r="G1322" s="30" t="s">
        <v>39</v>
      </c>
      <c r="H1322" s="27" t="s">
        <v>71</v>
      </c>
      <c r="I1322" s="27" t="s">
        <v>49</v>
      </c>
      <c r="J1322" s="27" t="s">
        <v>50</v>
      </c>
      <c r="K1322" s="27" t="s">
        <v>51</v>
      </c>
      <c r="L1322" s="31" t="s">
        <v>2360</v>
      </c>
      <c r="M1322" s="32">
        <v>0.42</v>
      </c>
      <c r="N1322" s="27" t="s">
        <v>33</v>
      </c>
      <c r="O1322" s="27" t="s">
        <v>60</v>
      </c>
      <c r="P1322" s="27" t="s">
        <v>146</v>
      </c>
      <c r="Q1322" s="27" t="s">
        <v>695</v>
      </c>
      <c r="R1322" s="33">
        <v>84117</v>
      </c>
      <c r="S1322" s="34">
        <v>42124</v>
      </c>
      <c r="T1322" s="34">
        <v>42124</v>
      </c>
      <c r="U1322" s="29">
        <v>-14.990399999999999</v>
      </c>
      <c r="V1322" s="26">
        <v>11</v>
      </c>
      <c r="W1322" s="29">
        <v>16.88</v>
      </c>
      <c r="X1322" s="26">
        <v>90003</v>
      </c>
      <c r="Y1322" s="35">
        <v>13.450000000000001</v>
      </c>
      <c r="Z1322" s="1" t="s">
        <v>3013</v>
      </c>
      <c r="AA1322" s="36">
        <v>1.7600000000000002</v>
      </c>
      <c r="AB1322" s="54">
        <v>9.7904</v>
      </c>
      <c r="AC1322" s="54">
        <v>0.64450909090909081</v>
      </c>
      <c r="AD1322" s="36">
        <v>28.820399999999999</v>
      </c>
    </row>
    <row r="1323" spans="1:30" s="37" customFormat="1" ht="15.75" customHeight="1" x14ac:dyDescent="0.2">
      <c r="A1323" s="26">
        <v>2704</v>
      </c>
      <c r="B1323" s="27" t="s">
        <v>2353</v>
      </c>
      <c r="C1323" s="27" t="s">
        <v>26</v>
      </c>
      <c r="D1323" s="28">
        <v>0.06</v>
      </c>
      <c r="E1323" s="29">
        <v>3.6</v>
      </c>
      <c r="F1323" s="29">
        <v>2.2000000000000002</v>
      </c>
      <c r="G1323" s="30" t="s">
        <v>39</v>
      </c>
      <c r="H1323" s="27" t="s">
        <v>40</v>
      </c>
      <c r="I1323" s="27" t="s">
        <v>49</v>
      </c>
      <c r="J1323" s="27" t="s">
        <v>88</v>
      </c>
      <c r="K1323" s="27" t="s">
        <v>51</v>
      </c>
      <c r="L1323" s="31" t="s">
        <v>1384</v>
      </c>
      <c r="M1323" s="32">
        <v>0.39</v>
      </c>
      <c r="N1323" s="27" t="s">
        <v>33</v>
      </c>
      <c r="O1323" s="27" t="s">
        <v>34</v>
      </c>
      <c r="P1323" s="27" t="s">
        <v>123</v>
      </c>
      <c r="Q1323" s="27" t="s">
        <v>2354</v>
      </c>
      <c r="R1323" s="33">
        <v>32503</v>
      </c>
      <c r="S1323" s="34">
        <v>42124</v>
      </c>
      <c r="T1323" s="34">
        <v>42126</v>
      </c>
      <c r="U1323" s="29">
        <v>2755.6421999999998</v>
      </c>
      <c r="V1323" s="26">
        <v>4</v>
      </c>
      <c r="W1323" s="29">
        <v>15.19</v>
      </c>
      <c r="X1323" s="26">
        <v>91407</v>
      </c>
      <c r="Y1323" s="35">
        <v>21.96</v>
      </c>
      <c r="Z1323" s="1" t="s">
        <v>3011</v>
      </c>
      <c r="AA1323" s="36">
        <v>0.86399999999999999</v>
      </c>
      <c r="AB1323" s="54">
        <v>9.2659000000000002</v>
      </c>
      <c r="AC1323" s="54">
        <v>1.481025</v>
      </c>
      <c r="AD1323" s="36">
        <v>-2743.5161999999996</v>
      </c>
    </row>
    <row r="1324" spans="1:30" s="37" customFormat="1" ht="15.75" customHeight="1" x14ac:dyDescent="0.2">
      <c r="A1324" s="26">
        <v>851</v>
      </c>
      <c r="B1324" s="27" t="s">
        <v>1364</v>
      </c>
      <c r="C1324" s="27" t="s">
        <v>26</v>
      </c>
      <c r="D1324" s="28">
        <v>0.06</v>
      </c>
      <c r="E1324" s="29">
        <v>1.26</v>
      </c>
      <c r="F1324" s="29">
        <v>0.7</v>
      </c>
      <c r="G1324" s="30" t="s">
        <v>39</v>
      </c>
      <c r="H1324" s="27" t="s">
        <v>94</v>
      </c>
      <c r="I1324" s="27" t="s">
        <v>49</v>
      </c>
      <c r="J1324" s="27" t="s">
        <v>176</v>
      </c>
      <c r="K1324" s="27" t="s">
        <v>51</v>
      </c>
      <c r="L1324" s="31" t="s">
        <v>2346</v>
      </c>
      <c r="M1324" s="32">
        <v>0.81</v>
      </c>
      <c r="N1324" s="27" t="s">
        <v>33</v>
      </c>
      <c r="O1324" s="27" t="s">
        <v>60</v>
      </c>
      <c r="P1324" s="27" t="s">
        <v>90</v>
      </c>
      <c r="Q1324" s="27" t="s">
        <v>1366</v>
      </c>
      <c r="R1324" s="33">
        <v>91745</v>
      </c>
      <c r="S1324" s="34">
        <v>42124</v>
      </c>
      <c r="T1324" s="34">
        <v>42124</v>
      </c>
      <c r="U1324" s="29">
        <v>-6.6096000000000004</v>
      </c>
      <c r="V1324" s="26">
        <v>4</v>
      </c>
      <c r="W1324" s="29">
        <v>5.28</v>
      </c>
      <c r="X1324" s="26">
        <v>88571</v>
      </c>
      <c r="Y1324" s="35">
        <v>1.5</v>
      </c>
      <c r="Z1324" s="1" t="s">
        <v>3013</v>
      </c>
      <c r="AA1324" s="36">
        <v>0.3024</v>
      </c>
      <c r="AB1324" s="54">
        <v>1.0031999999999999</v>
      </c>
      <c r="AC1324" s="54">
        <v>1.0692000000000002</v>
      </c>
      <c r="AD1324" s="36">
        <v>10.8872</v>
      </c>
    </row>
    <row r="1325" spans="1:30" s="37" customFormat="1" ht="15.75" customHeight="1" x14ac:dyDescent="0.2">
      <c r="A1325" s="26">
        <v>1193</v>
      </c>
      <c r="B1325" s="27" t="s">
        <v>1351</v>
      </c>
      <c r="C1325" s="27" t="s">
        <v>3094</v>
      </c>
      <c r="D1325" s="28">
        <v>0.03</v>
      </c>
      <c r="E1325" s="29">
        <v>5.98</v>
      </c>
      <c r="F1325" s="29">
        <v>1.49</v>
      </c>
      <c r="G1325" s="30" t="s">
        <v>39</v>
      </c>
      <c r="H1325" s="27" t="s">
        <v>3095</v>
      </c>
      <c r="I1325" s="27" t="s">
        <v>49</v>
      </c>
      <c r="J1325" s="27" t="s">
        <v>72</v>
      </c>
      <c r="K1325" s="27" t="s">
        <v>73</v>
      </c>
      <c r="L1325" s="31" t="s">
        <v>1587</v>
      </c>
      <c r="M1325" s="32">
        <v>0.39</v>
      </c>
      <c r="N1325" s="27" t="s">
        <v>33</v>
      </c>
      <c r="O1325" s="27" t="s">
        <v>111</v>
      </c>
      <c r="P1325" s="27" t="s">
        <v>374</v>
      </c>
      <c r="Q1325" s="27" t="s">
        <v>67</v>
      </c>
      <c r="R1325" s="33">
        <v>20016</v>
      </c>
      <c r="S1325" s="34">
        <v>42125</v>
      </c>
      <c r="T1325" s="34">
        <v>42127</v>
      </c>
      <c r="U1325" s="29">
        <v>38.08</v>
      </c>
      <c r="V1325" s="26">
        <v>85</v>
      </c>
      <c r="W1325" s="29">
        <v>517.85</v>
      </c>
      <c r="X1325" s="26">
        <v>38852</v>
      </c>
      <c r="Y1325" s="35">
        <v>11.69</v>
      </c>
      <c r="Z1325" s="1" t="s">
        <v>3014</v>
      </c>
      <c r="AA1325" s="36">
        <v>15.249000000000001</v>
      </c>
      <c r="AB1325" s="54">
        <v>315.88850000000002</v>
      </c>
      <c r="AC1325" s="54">
        <v>2.3760176470588239</v>
      </c>
      <c r="AD1325" s="36">
        <v>463.03100000000001</v>
      </c>
    </row>
    <row r="1326" spans="1:30" s="37" customFormat="1" ht="15.75" customHeight="1" x14ac:dyDescent="0.2">
      <c r="A1326" s="26">
        <v>381</v>
      </c>
      <c r="B1326" s="27" t="s">
        <v>2368</v>
      </c>
      <c r="C1326" s="27" t="s">
        <v>3094</v>
      </c>
      <c r="D1326" s="28">
        <v>7.0000000000000007E-2</v>
      </c>
      <c r="E1326" s="29">
        <v>415.88</v>
      </c>
      <c r="F1326" s="29">
        <v>11.37</v>
      </c>
      <c r="G1326" s="30" t="s">
        <v>39</v>
      </c>
      <c r="H1326" s="27" t="s">
        <v>94</v>
      </c>
      <c r="I1326" s="27" t="s">
        <v>49</v>
      </c>
      <c r="J1326" s="27" t="s">
        <v>78</v>
      </c>
      <c r="K1326" s="27" t="s">
        <v>73</v>
      </c>
      <c r="L1326" s="31" t="s">
        <v>1381</v>
      </c>
      <c r="M1326" s="32">
        <v>0.56999999999999995</v>
      </c>
      <c r="N1326" s="27" t="s">
        <v>33</v>
      </c>
      <c r="O1326" s="27" t="s">
        <v>53</v>
      </c>
      <c r="P1326" s="27" t="s">
        <v>103</v>
      </c>
      <c r="Q1326" s="27" t="s">
        <v>1847</v>
      </c>
      <c r="R1326" s="33">
        <v>61701</v>
      </c>
      <c r="S1326" s="34">
        <v>42125</v>
      </c>
      <c r="T1326" s="34">
        <v>42125</v>
      </c>
      <c r="U1326" s="29">
        <v>-539.59</v>
      </c>
      <c r="V1326" s="26">
        <v>1</v>
      </c>
      <c r="W1326" s="29">
        <v>394.51</v>
      </c>
      <c r="X1326" s="26">
        <v>88929</v>
      </c>
      <c r="Y1326" s="35">
        <v>4.5199999999999996</v>
      </c>
      <c r="Z1326" s="1" t="s">
        <v>3012</v>
      </c>
      <c r="AA1326" s="36">
        <v>29.111600000000003</v>
      </c>
      <c r="AB1326" s="54">
        <v>169.63930000000002</v>
      </c>
      <c r="AC1326" s="54">
        <v>224.87069999999997</v>
      </c>
      <c r="AD1326" s="36">
        <v>893.61840000000007</v>
      </c>
    </row>
    <row r="1327" spans="1:30" s="37" customFormat="1" ht="15.75" customHeight="1" x14ac:dyDescent="0.2">
      <c r="A1327" s="26">
        <v>1271</v>
      </c>
      <c r="B1327" s="27" t="s">
        <v>2111</v>
      </c>
      <c r="C1327" s="27" t="s">
        <v>48</v>
      </c>
      <c r="D1327" s="28">
        <v>0.1</v>
      </c>
      <c r="E1327" s="29">
        <v>34.229999999999997</v>
      </c>
      <c r="F1327" s="29">
        <v>5.0199999999999996</v>
      </c>
      <c r="G1327" s="30" t="s">
        <v>39</v>
      </c>
      <c r="H1327" s="27" t="s">
        <v>94</v>
      </c>
      <c r="I1327" s="27" t="s">
        <v>29</v>
      </c>
      <c r="J1327" s="27" t="s">
        <v>126</v>
      </c>
      <c r="K1327" s="27" t="s">
        <v>73</v>
      </c>
      <c r="L1327" s="31" t="s">
        <v>1318</v>
      </c>
      <c r="M1327" s="32">
        <v>0.55000000000000004</v>
      </c>
      <c r="N1327" s="27" t="s">
        <v>33</v>
      </c>
      <c r="O1327" s="27" t="s">
        <v>60</v>
      </c>
      <c r="P1327" s="27" t="s">
        <v>90</v>
      </c>
      <c r="Q1327" s="27" t="s">
        <v>2112</v>
      </c>
      <c r="R1327" s="33">
        <v>91941</v>
      </c>
      <c r="S1327" s="34">
        <v>42125</v>
      </c>
      <c r="T1327" s="34">
        <v>42130</v>
      </c>
      <c r="U1327" s="29">
        <v>151.56540000000001</v>
      </c>
      <c r="V1327" s="26">
        <v>7</v>
      </c>
      <c r="W1327" s="29">
        <v>219.66</v>
      </c>
      <c r="X1327" s="26">
        <v>88411</v>
      </c>
      <c r="Y1327" s="35">
        <v>4.9200000000000008</v>
      </c>
      <c r="Z1327" s="1" t="s">
        <v>3013</v>
      </c>
      <c r="AA1327" s="36">
        <v>23.960999999999999</v>
      </c>
      <c r="AB1327" s="54">
        <v>98.846999999999994</v>
      </c>
      <c r="AC1327" s="54">
        <v>17.259</v>
      </c>
      <c r="AD1327" s="36">
        <v>39.113599999999991</v>
      </c>
    </row>
    <row r="1328" spans="1:30" s="37" customFormat="1" ht="15.75" customHeight="1" x14ac:dyDescent="0.2">
      <c r="A1328" s="26">
        <v>2394</v>
      </c>
      <c r="B1328" s="27" t="s">
        <v>2361</v>
      </c>
      <c r="C1328" s="27" t="s">
        <v>26</v>
      </c>
      <c r="D1328" s="28">
        <v>0.01</v>
      </c>
      <c r="E1328" s="29">
        <v>11.7</v>
      </c>
      <c r="F1328" s="29">
        <v>5.63</v>
      </c>
      <c r="G1328" s="30" t="s">
        <v>39</v>
      </c>
      <c r="H1328" s="27" t="s">
        <v>94</v>
      </c>
      <c r="I1328" s="27" t="s">
        <v>49</v>
      </c>
      <c r="J1328" s="27" t="s">
        <v>72</v>
      </c>
      <c r="K1328" s="27" t="s">
        <v>73</v>
      </c>
      <c r="L1328" s="31" t="s">
        <v>2362</v>
      </c>
      <c r="M1328" s="32">
        <v>0.4</v>
      </c>
      <c r="N1328" s="27" t="s">
        <v>33</v>
      </c>
      <c r="O1328" s="27" t="s">
        <v>34</v>
      </c>
      <c r="P1328" s="27" t="s">
        <v>75</v>
      </c>
      <c r="Q1328" s="27" t="s">
        <v>2363</v>
      </c>
      <c r="R1328" s="33">
        <v>30328</v>
      </c>
      <c r="S1328" s="34">
        <v>42125</v>
      </c>
      <c r="T1328" s="34">
        <v>42127</v>
      </c>
      <c r="U1328" s="29">
        <v>39.21</v>
      </c>
      <c r="V1328" s="26">
        <v>16</v>
      </c>
      <c r="W1328" s="29">
        <v>196.69</v>
      </c>
      <c r="X1328" s="26">
        <v>86949</v>
      </c>
      <c r="Y1328" s="35">
        <v>6.4700000000000006</v>
      </c>
      <c r="Z1328" s="1" t="s">
        <v>3011</v>
      </c>
      <c r="AA1328" s="36">
        <v>1.8719999999999999</v>
      </c>
      <c r="AB1328" s="54">
        <v>118.014</v>
      </c>
      <c r="AC1328" s="54">
        <v>4.9172500000000001</v>
      </c>
      <c r="AD1328" s="36">
        <v>149.97800000000001</v>
      </c>
    </row>
    <row r="1329" spans="1:30" s="37" customFormat="1" ht="15.75" customHeight="1" x14ac:dyDescent="0.2">
      <c r="A1329" s="26">
        <v>1194</v>
      </c>
      <c r="B1329" s="27" t="s">
        <v>2369</v>
      </c>
      <c r="C1329" s="27" t="s">
        <v>3094</v>
      </c>
      <c r="D1329" s="28">
        <v>0.03</v>
      </c>
      <c r="E1329" s="29">
        <v>5.98</v>
      </c>
      <c r="F1329" s="29">
        <v>1.49</v>
      </c>
      <c r="G1329" s="30" t="s">
        <v>39</v>
      </c>
      <c r="H1329" s="27" t="s">
        <v>3095</v>
      </c>
      <c r="I1329" s="27" t="s">
        <v>49</v>
      </c>
      <c r="J1329" s="27" t="s">
        <v>72</v>
      </c>
      <c r="K1329" s="27" t="s">
        <v>73</v>
      </c>
      <c r="L1329" s="31" t="s">
        <v>1587</v>
      </c>
      <c r="M1329" s="32">
        <v>0.39</v>
      </c>
      <c r="N1329" s="27" t="s">
        <v>33</v>
      </c>
      <c r="O1329" s="27" t="s">
        <v>34</v>
      </c>
      <c r="P1329" s="27" t="s">
        <v>123</v>
      </c>
      <c r="Q1329" s="27" t="s">
        <v>2370</v>
      </c>
      <c r="R1329" s="33">
        <v>34142</v>
      </c>
      <c r="S1329" s="34">
        <v>42125</v>
      </c>
      <c r="T1329" s="34">
        <v>42127</v>
      </c>
      <c r="U1329" s="29">
        <v>20.495999999999999</v>
      </c>
      <c r="V1329" s="26">
        <v>21</v>
      </c>
      <c r="W1329" s="29">
        <v>127.94</v>
      </c>
      <c r="X1329" s="26">
        <v>87586</v>
      </c>
      <c r="Y1329" s="35">
        <v>34.129999999999995</v>
      </c>
      <c r="Z1329" s="1" t="s">
        <v>3011</v>
      </c>
      <c r="AA1329" s="36">
        <v>3.7674000000000003</v>
      </c>
      <c r="AB1329" s="54">
        <v>78.043399999999991</v>
      </c>
      <c r="AC1329" s="54">
        <v>2.3760285714285714</v>
      </c>
      <c r="AD1329" s="36">
        <v>102.1866</v>
      </c>
    </row>
    <row r="1330" spans="1:30" s="37" customFormat="1" ht="15.75" customHeight="1" x14ac:dyDescent="0.2">
      <c r="A1330" s="26">
        <v>2724</v>
      </c>
      <c r="B1330" s="27" t="s">
        <v>2364</v>
      </c>
      <c r="C1330" s="27" t="s">
        <v>26</v>
      </c>
      <c r="D1330" s="28">
        <v>0.01</v>
      </c>
      <c r="E1330" s="29">
        <v>6.48</v>
      </c>
      <c r="F1330" s="29">
        <v>7.37</v>
      </c>
      <c r="G1330" s="30" t="s">
        <v>39</v>
      </c>
      <c r="H1330" s="27" t="s">
        <v>71</v>
      </c>
      <c r="I1330" s="27" t="s">
        <v>49</v>
      </c>
      <c r="J1330" s="27" t="s">
        <v>88</v>
      </c>
      <c r="K1330" s="27" t="s">
        <v>73</v>
      </c>
      <c r="L1330" s="31" t="s">
        <v>1615</v>
      </c>
      <c r="M1330" s="32">
        <v>0.37</v>
      </c>
      <c r="N1330" s="27" t="s">
        <v>33</v>
      </c>
      <c r="O1330" s="27" t="s">
        <v>34</v>
      </c>
      <c r="P1330" s="27" t="s">
        <v>400</v>
      </c>
      <c r="Q1330" s="27" t="s">
        <v>2365</v>
      </c>
      <c r="R1330" s="33">
        <v>37421</v>
      </c>
      <c r="S1330" s="34">
        <v>42125</v>
      </c>
      <c r="T1330" s="34">
        <v>42127</v>
      </c>
      <c r="U1330" s="29">
        <v>-449.69400000000002</v>
      </c>
      <c r="V1330" s="26">
        <v>18</v>
      </c>
      <c r="W1330" s="29">
        <v>122.8</v>
      </c>
      <c r="X1330" s="26">
        <v>88959</v>
      </c>
      <c r="Y1330" s="35">
        <v>2.2000000000000002</v>
      </c>
      <c r="Z1330" s="1" t="s">
        <v>3011</v>
      </c>
      <c r="AA1330" s="36">
        <v>1.1664000000000001</v>
      </c>
      <c r="AB1330" s="54">
        <v>77.364000000000004</v>
      </c>
      <c r="AC1330" s="54">
        <v>2.5242222222222219</v>
      </c>
      <c r="AD1330" s="36">
        <v>563.95759999999996</v>
      </c>
    </row>
    <row r="1331" spans="1:30" s="37" customFormat="1" ht="15.75" customHeight="1" x14ac:dyDescent="0.2">
      <c r="A1331" s="26">
        <v>2724</v>
      </c>
      <c r="B1331" s="27" t="s">
        <v>2364</v>
      </c>
      <c r="C1331" s="27" t="s">
        <v>26</v>
      </c>
      <c r="D1331" s="28">
        <v>0.06</v>
      </c>
      <c r="E1331" s="29">
        <v>4.9800000000000004</v>
      </c>
      <c r="F1331" s="29">
        <v>7.44</v>
      </c>
      <c r="G1331" s="30" t="s">
        <v>39</v>
      </c>
      <c r="H1331" s="27" t="s">
        <v>71</v>
      </c>
      <c r="I1331" s="27" t="s">
        <v>49</v>
      </c>
      <c r="J1331" s="27" t="s">
        <v>88</v>
      </c>
      <c r="K1331" s="27" t="s">
        <v>73</v>
      </c>
      <c r="L1331" s="31" t="s">
        <v>2174</v>
      </c>
      <c r="M1331" s="32">
        <v>0.36</v>
      </c>
      <c r="N1331" s="27" t="s">
        <v>33</v>
      </c>
      <c r="O1331" s="27" t="s">
        <v>34</v>
      </c>
      <c r="P1331" s="27" t="s">
        <v>400</v>
      </c>
      <c r="Q1331" s="27" t="s">
        <v>2365</v>
      </c>
      <c r="R1331" s="33">
        <v>37421</v>
      </c>
      <c r="S1331" s="34">
        <v>42125</v>
      </c>
      <c r="T1331" s="34">
        <v>42126</v>
      </c>
      <c r="U1331" s="29">
        <v>-37.561999999999998</v>
      </c>
      <c r="V1331" s="26">
        <v>10</v>
      </c>
      <c r="W1331" s="29">
        <v>53.21</v>
      </c>
      <c r="X1331" s="26">
        <v>88959</v>
      </c>
      <c r="Y1331" s="35">
        <v>415.81</v>
      </c>
      <c r="Z1331" s="1" t="s">
        <v>3011</v>
      </c>
      <c r="AA1331" s="36">
        <v>2.988</v>
      </c>
      <c r="AB1331" s="54">
        <v>34.054400000000001</v>
      </c>
      <c r="AC1331" s="54">
        <v>1.9155599999999999</v>
      </c>
      <c r="AD1331" s="36">
        <v>80.343999999999994</v>
      </c>
    </row>
    <row r="1332" spans="1:30" s="37" customFormat="1" ht="15.75" customHeight="1" x14ac:dyDescent="0.2">
      <c r="A1332" s="26">
        <v>2394</v>
      </c>
      <c r="B1332" s="27" t="s">
        <v>2361</v>
      </c>
      <c r="C1332" s="27" t="s">
        <v>26</v>
      </c>
      <c r="D1332" s="28">
        <v>0.03</v>
      </c>
      <c r="E1332" s="29">
        <v>4.55</v>
      </c>
      <c r="F1332" s="29">
        <v>1.49</v>
      </c>
      <c r="G1332" s="30" t="s">
        <v>39</v>
      </c>
      <c r="H1332" s="27" t="s">
        <v>94</v>
      </c>
      <c r="I1332" s="27" t="s">
        <v>49</v>
      </c>
      <c r="J1332" s="27" t="s">
        <v>72</v>
      </c>
      <c r="K1332" s="27" t="s">
        <v>73</v>
      </c>
      <c r="L1332" s="31" t="s">
        <v>1503</v>
      </c>
      <c r="M1332" s="32">
        <v>0.35</v>
      </c>
      <c r="N1332" s="27" t="s">
        <v>33</v>
      </c>
      <c r="O1332" s="27" t="s">
        <v>34</v>
      </c>
      <c r="P1332" s="27" t="s">
        <v>75</v>
      </c>
      <c r="Q1332" s="27" t="s">
        <v>2363</v>
      </c>
      <c r="R1332" s="33">
        <v>30328</v>
      </c>
      <c r="S1332" s="34">
        <v>42125</v>
      </c>
      <c r="T1332" s="34">
        <v>42125</v>
      </c>
      <c r="U1332" s="29">
        <v>100.38</v>
      </c>
      <c r="V1332" s="26">
        <v>9</v>
      </c>
      <c r="W1332" s="29">
        <v>40.28</v>
      </c>
      <c r="X1332" s="26">
        <v>86949</v>
      </c>
      <c r="Y1332" s="35">
        <v>5.95</v>
      </c>
      <c r="Z1332" s="1" t="s">
        <v>3011</v>
      </c>
      <c r="AA1332" s="36">
        <v>1.2284999999999999</v>
      </c>
      <c r="AB1332" s="54">
        <v>26.182000000000002</v>
      </c>
      <c r="AC1332" s="54">
        <v>1.5664444444444443</v>
      </c>
      <c r="AD1332" s="36">
        <v>-62.818499999999986</v>
      </c>
    </row>
    <row r="1333" spans="1:30" s="37" customFormat="1" ht="15.75" customHeight="1" x14ac:dyDescent="0.2">
      <c r="A1333" s="26">
        <v>1383</v>
      </c>
      <c r="B1333" s="27" t="s">
        <v>2366</v>
      </c>
      <c r="C1333" s="27" t="s">
        <v>116</v>
      </c>
      <c r="D1333" s="28">
        <v>0.03</v>
      </c>
      <c r="E1333" s="29">
        <v>2.23</v>
      </c>
      <c r="F1333" s="29">
        <v>4.57</v>
      </c>
      <c r="G1333" s="30" t="s">
        <v>39</v>
      </c>
      <c r="H1333" s="27" t="s">
        <v>40</v>
      </c>
      <c r="I1333" s="27" t="s">
        <v>29</v>
      </c>
      <c r="J1333" s="27" t="s">
        <v>126</v>
      </c>
      <c r="K1333" s="27" t="s">
        <v>43</v>
      </c>
      <c r="L1333" s="31" t="s">
        <v>2367</v>
      </c>
      <c r="M1333" s="32">
        <v>0.41</v>
      </c>
      <c r="N1333" s="27" t="s">
        <v>33</v>
      </c>
      <c r="O1333" s="27" t="s">
        <v>60</v>
      </c>
      <c r="P1333" s="27" t="s">
        <v>146</v>
      </c>
      <c r="Q1333" s="27" t="s">
        <v>1232</v>
      </c>
      <c r="R1333" s="33">
        <v>84120</v>
      </c>
      <c r="S1333" s="34">
        <v>42125</v>
      </c>
      <c r="T1333" s="34">
        <v>42126</v>
      </c>
      <c r="U1333" s="29">
        <v>-93.25</v>
      </c>
      <c r="V1333" s="26">
        <v>12</v>
      </c>
      <c r="W1333" s="29">
        <v>28.66</v>
      </c>
      <c r="X1333" s="26">
        <v>89406</v>
      </c>
      <c r="Y1333" s="35">
        <v>5.95</v>
      </c>
      <c r="Z1333" s="1" t="s">
        <v>3013</v>
      </c>
      <c r="AA1333" s="36">
        <v>0.80279999999999996</v>
      </c>
      <c r="AB1333" s="54">
        <v>16.909400000000002</v>
      </c>
      <c r="AC1333" s="54">
        <v>0.97921666666666651</v>
      </c>
      <c r="AD1333" s="36">
        <v>116.5372</v>
      </c>
    </row>
    <row r="1334" spans="1:30" s="37" customFormat="1" ht="15.75" customHeight="1" x14ac:dyDescent="0.2">
      <c r="A1334" s="26">
        <v>3139</v>
      </c>
      <c r="B1334" s="27" t="s">
        <v>2371</v>
      </c>
      <c r="C1334" s="27" t="s">
        <v>26</v>
      </c>
      <c r="D1334" s="28">
        <v>0.09</v>
      </c>
      <c r="E1334" s="29">
        <v>280.98</v>
      </c>
      <c r="F1334" s="29">
        <v>57</v>
      </c>
      <c r="G1334" s="30" t="s">
        <v>27</v>
      </c>
      <c r="H1334" s="27" t="s">
        <v>71</v>
      </c>
      <c r="I1334" s="27" t="s">
        <v>29</v>
      </c>
      <c r="J1334" s="27" t="s">
        <v>109</v>
      </c>
      <c r="K1334" s="27" t="s">
        <v>58</v>
      </c>
      <c r="L1334" s="31" t="s">
        <v>862</v>
      </c>
      <c r="M1334" s="32">
        <v>0.78</v>
      </c>
      <c r="N1334" s="27" t="s">
        <v>33</v>
      </c>
      <c r="O1334" s="27" t="s">
        <v>111</v>
      </c>
      <c r="P1334" s="27" t="s">
        <v>397</v>
      </c>
      <c r="Q1334" s="27" t="s">
        <v>2372</v>
      </c>
      <c r="R1334" s="33">
        <v>7016</v>
      </c>
      <c r="S1334" s="34">
        <v>42126</v>
      </c>
      <c r="T1334" s="34">
        <v>42129</v>
      </c>
      <c r="U1334" s="29">
        <v>252.488</v>
      </c>
      <c r="V1334" s="26">
        <v>31</v>
      </c>
      <c r="W1334" s="29">
        <v>7974.21</v>
      </c>
      <c r="X1334" s="26">
        <v>86793</v>
      </c>
      <c r="Y1334" s="35">
        <v>280.89000000000004</v>
      </c>
      <c r="Z1334" s="1" t="s">
        <v>3014</v>
      </c>
      <c r="AA1334" s="36">
        <v>783.93420000000003</v>
      </c>
      <c r="AB1334" s="54">
        <v>1754.3261999999997</v>
      </c>
      <c r="AC1334" s="54">
        <v>200.64141290322581</v>
      </c>
      <c r="AD1334" s="36">
        <v>6880.7878000000001</v>
      </c>
    </row>
    <row r="1335" spans="1:30" s="37" customFormat="1" ht="15.75" customHeight="1" x14ac:dyDescent="0.2">
      <c r="A1335" s="26">
        <v>2578</v>
      </c>
      <c r="B1335" s="27" t="s">
        <v>2378</v>
      </c>
      <c r="C1335" s="27" t="s">
        <v>48</v>
      </c>
      <c r="D1335" s="28">
        <v>0.08</v>
      </c>
      <c r="E1335" s="29">
        <v>105.49</v>
      </c>
      <c r="F1335" s="29">
        <v>41.64</v>
      </c>
      <c r="G1335" s="30" t="s">
        <v>27</v>
      </c>
      <c r="H1335" s="27" t="s">
        <v>71</v>
      </c>
      <c r="I1335" s="27" t="s">
        <v>29</v>
      </c>
      <c r="J1335" s="27" t="s">
        <v>30</v>
      </c>
      <c r="K1335" s="27" t="s">
        <v>31</v>
      </c>
      <c r="L1335" s="31" t="s">
        <v>2380</v>
      </c>
      <c r="M1335" s="32">
        <v>0.75</v>
      </c>
      <c r="N1335" s="27" t="s">
        <v>33</v>
      </c>
      <c r="O1335" s="27" t="s">
        <v>34</v>
      </c>
      <c r="P1335" s="27" t="s">
        <v>164</v>
      </c>
      <c r="Q1335" s="27" t="s">
        <v>2379</v>
      </c>
      <c r="R1335" s="33">
        <v>36801</v>
      </c>
      <c r="S1335" s="34">
        <v>42126</v>
      </c>
      <c r="T1335" s="34">
        <v>42133</v>
      </c>
      <c r="U1335" s="29">
        <v>-36.945999999999998</v>
      </c>
      <c r="V1335" s="26">
        <v>34</v>
      </c>
      <c r="W1335" s="29">
        <v>2694.49</v>
      </c>
      <c r="X1335" s="26">
        <v>88298</v>
      </c>
      <c r="Y1335" s="35">
        <v>30.89</v>
      </c>
      <c r="Z1335" s="1" t="s">
        <v>3011</v>
      </c>
      <c r="AA1335" s="36">
        <v>286.93279999999999</v>
      </c>
      <c r="AB1335" s="54">
        <v>673.62249999999995</v>
      </c>
      <c r="AC1335" s="54">
        <v>59.437279411764706</v>
      </c>
      <c r="AD1335" s="36">
        <v>2402.8631999999998</v>
      </c>
    </row>
    <row r="1336" spans="1:30" s="37" customFormat="1" ht="15.75" customHeight="1" x14ac:dyDescent="0.2">
      <c r="A1336" s="26">
        <v>3367</v>
      </c>
      <c r="B1336" s="27" t="s">
        <v>2373</v>
      </c>
      <c r="C1336" s="27" t="s">
        <v>26</v>
      </c>
      <c r="D1336" s="28">
        <v>0.08</v>
      </c>
      <c r="E1336" s="29">
        <v>30.97</v>
      </c>
      <c r="F1336" s="29">
        <v>4</v>
      </c>
      <c r="G1336" s="30" t="s">
        <v>39</v>
      </c>
      <c r="H1336" s="27" t="s">
        <v>71</v>
      </c>
      <c r="I1336" s="27" t="s">
        <v>41</v>
      </c>
      <c r="J1336" s="27" t="s">
        <v>42</v>
      </c>
      <c r="K1336" s="27" t="s">
        <v>73</v>
      </c>
      <c r="L1336" s="31" t="s">
        <v>2162</v>
      </c>
      <c r="M1336" s="32">
        <v>0.74</v>
      </c>
      <c r="N1336" s="27" t="s">
        <v>33</v>
      </c>
      <c r="O1336" s="27" t="s">
        <v>111</v>
      </c>
      <c r="P1336" s="27" t="s">
        <v>317</v>
      </c>
      <c r="Q1336" s="27" t="s">
        <v>2374</v>
      </c>
      <c r="R1336" s="33">
        <v>43221</v>
      </c>
      <c r="S1336" s="34">
        <v>42126</v>
      </c>
      <c r="T1336" s="34">
        <v>42127</v>
      </c>
      <c r="U1336" s="29">
        <v>10.68</v>
      </c>
      <c r="V1336" s="26">
        <v>26</v>
      </c>
      <c r="W1336" s="29">
        <v>758.97</v>
      </c>
      <c r="X1336" s="26">
        <v>90502</v>
      </c>
      <c r="Y1336" s="35">
        <v>4.03</v>
      </c>
      <c r="Z1336" s="1" t="s">
        <v>3014</v>
      </c>
      <c r="AA1336" s="36">
        <v>64.417599999999993</v>
      </c>
      <c r="AB1336" s="54">
        <v>197.3322</v>
      </c>
      <c r="AC1336" s="54">
        <v>21.601453846153845</v>
      </c>
      <c r="AD1336" s="36">
        <v>679.87239999999997</v>
      </c>
    </row>
    <row r="1337" spans="1:30" s="37" customFormat="1" ht="15.75" customHeight="1" x14ac:dyDescent="0.2">
      <c r="A1337" s="26">
        <v>408</v>
      </c>
      <c r="B1337" s="27" t="s">
        <v>2376</v>
      </c>
      <c r="C1337" s="27" t="s">
        <v>48</v>
      </c>
      <c r="D1337" s="28">
        <v>7.0000000000000007E-2</v>
      </c>
      <c r="E1337" s="29">
        <v>29.17</v>
      </c>
      <c r="F1337" s="29">
        <v>6.27</v>
      </c>
      <c r="G1337" s="30" t="s">
        <v>39</v>
      </c>
      <c r="H1337" s="27" t="s">
        <v>94</v>
      </c>
      <c r="I1337" s="27" t="s">
        <v>49</v>
      </c>
      <c r="J1337" s="27" t="s">
        <v>72</v>
      </c>
      <c r="K1337" s="27" t="s">
        <v>73</v>
      </c>
      <c r="L1337" s="31" t="s">
        <v>74</v>
      </c>
      <c r="M1337" s="32">
        <v>0.37</v>
      </c>
      <c r="N1337" s="27" t="s">
        <v>33</v>
      </c>
      <c r="O1337" s="27" t="s">
        <v>53</v>
      </c>
      <c r="P1337" s="27" t="s">
        <v>187</v>
      </c>
      <c r="Q1337" s="27" t="s">
        <v>2377</v>
      </c>
      <c r="R1337" s="33">
        <v>78589</v>
      </c>
      <c r="S1337" s="34">
        <v>42126</v>
      </c>
      <c r="T1337" s="34">
        <v>42130</v>
      </c>
      <c r="U1337" s="29">
        <v>236.2371</v>
      </c>
      <c r="V1337" s="26">
        <v>14</v>
      </c>
      <c r="W1337" s="29">
        <v>400.47</v>
      </c>
      <c r="X1337" s="26">
        <v>89639</v>
      </c>
      <c r="Y1337" s="35">
        <v>29.1</v>
      </c>
      <c r="Z1337" s="1" t="s">
        <v>3012</v>
      </c>
      <c r="AA1337" s="36">
        <v>28.586600000000008</v>
      </c>
      <c r="AB1337" s="54">
        <v>252.29610000000002</v>
      </c>
      <c r="AC1337" s="54">
        <v>10.58385</v>
      </c>
      <c r="AD1337" s="36">
        <v>129.37630000000001</v>
      </c>
    </row>
    <row r="1338" spans="1:30" s="37" customFormat="1" ht="15.75" customHeight="1" x14ac:dyDescent="0.2">
      <c r="A1338" s="26">
        <v>2426</v>
      </c>
      <c r="B1338" s="27" t="s">
        <v>1650</v>
      </c>
      <c r="C1338" s="27" t="s">
        <v>48</v>
      </c>
      <c r="D1338" s="28">
        <v>0.08</v>
      </c>
      <c r="E1338" s="29">
        <v>4.4800000000000004</v>
      </c>
      <c r="F1338" s="29">
        <v>49</v>
      </c>
      <c r="G1338" s="30" t="s">
        <v>39</v>
      </c>
      <c r="H1338" s="27" t="s">
        <v>3095</v>
      </c>
      <c r="I1338" s="27" t="s">
        <v>49</v>
      </c>
      <c r="J1338" s="27" t="s">
        <v>95</v>
      </c>
      <c r="K1338" s="27" t="s">
        <v>65</v>
      </c>
      <c r="L1338" s="31" t="s">
        <v>468</v>
      </c>
      <c r="M1338" s="32">
        <v>0.6</v>
      </c>
      <c r="N1338" s="27" t="s">
        <v>33</v>
      </c>
      <c r="O1338" s="27" t="s">
        <v>53</v>
      </c>
      <c r="P1338" s="27" t="s">
        <v>187</v>
      </c>
      <c r="Q1338" s="27" t="s">
        <v>1652</v>
      </c>
      <c r="R1338" s="33">
        <v>75061</v>
      </c>
      <c r="S1338" s="34">
        <v>42126</v>
      </c>
      <c r="T1338" s="34">
        <v>42126</v>
      </c>
      <c r="U1338" s="29">
        <v>139.58009999999999</v>
      </c>
      <c r="V1338" s="26">
        <v>37</v>
      </c>
      <c r="W1338" s="29">
        <v>202.29</v>
      </c>
      <c r="X1338" s="26">
        <v>90861</v>
      </c>
      <c r="Y1338" s="35">
        <v>4.4000000000000004</v>
      </c>
      <c r="Z1338" s="1" t="s">
        <v>3012</v>
      </c>
      <c r="AA1338" s="36">
        <v>13.260800000000001</v>
      </c>
      <c r="AB1338" s="54">
        <v>80.915999999999997</v>
      </c>
      <c r="AC1338" s="54">
        <v>3.2803783783783782</v>
      </c>
      <c r="AD1338" s="36">
        <v>0.4491000000000156</v>
      </c>
    </row>
    <row r="1339" spans="1:30" s="37" customFormat="1" ht="15.75" customHeight="1" x14ac:dyDescent="0.2">
      <c r="A1339" s="26">
        <v>2426</v>
      </c>
      <c r="B1339" s="27" t="s">
        <v>1650</v>
      </c>
      <c r="C1339" s="27" t="s">
        <v>48</v>
      </c>
      <c r="D1339" s="28">
        <v>0</v>
      </c>
      <c r="E1339" s="29">
        <v>17.670000000000002</v>
      </c>
      <c r="F1339" s="29">
        <v>8.99</v>
      </c>
      <c r="G1339" s="30" t="s">
        <v>39</v>
      </c>
      <c r="H1339" s="27" t="s">
        <v>3095</v>
      </c>
      <c r="I1339" s="27" t="s">
        <v>29</v>
      </c>
      <c r="J1339" s="27" t="s">
        <v>126</v>
      </c>
      <c r="K1339" s="27" t="s">
        <v>43</v>
      </c>
      <c r="L1339" s="31" t="s">
        <v>2056</v>
      </c>
      <c r="M1339" s="32">
        <v>0.47</v>
      </c>
      <c r="N1339" s="27" t="s">
        <v>33</v>
      </c>
      <c r="O1339" s="27" t="s">
        <v>53</v>
      </c>
      <c r="P1339" s="27" t="s">
        <v>187</v>
      </c>
      <c r="Q1339" s="27" t="s">
        <v>1652</v>
      </c>
      <c r="R1339" s="33">
        <v>75061</v>
      </c>
      <c r="S1339" s="34">
        <v>42126</v>
      </c>
      <c r="T1339" s="34">
        <v>42133</v>
      </c>
      <c r="U1339" s="29">
        <v>109.67</v>
      </c>
      <c r="V1339" s="26">
        <v>9</v>
      </c>
      <c r="W1339" s="29">
        <v>168.71</v>
      </c>
      <c r="X1339" s="26">
        <v>90861</v>
      </c>
      <c r="Y1339" s="35">
        <v>17.670000000000002</v>
      </c>
      <c r="Z1339" s="1" t="s">
        <v>3012</v>
      </c>
      <c r="AA1339" s="36">
        <v>0</v>
      </c>
      <c r="AB1339" s="54">
        <v>89.416300000000007</v>
      </c>
      <c r="AC1339" s="54">
        <v>8.8104111111111099</v>
      </c>
      <c r="AD1339" s="36">
        <v>50.050000000000011</v>
      </c>
    </row>
    <row r="1340" spans="1:30" s="37" customFormat="1" ht="15.75" customHeight="1" x14ac:dyDescent="0.2">
      <c r="A1340" s="26">
        <v>2578</v>
      </c>
      <c r="B1340" s="27" t="s">
        <v>2378</v>
      </c>
      <c r="C1340" s="27" t="s">
        <v>48</v>
      </c>
      <c r="D1340" s="28">
        <v>0.01</v>
      </c>
      <c r="E1340" s="29">
        <v>3.58</v>
      </c>
      <c r="F1340" s="29">
        <v>1.63</v>
      </c>
      <c r="G1340" s="30" t="s">
        <v>39</v>
      </c>
      <c r="H1340" s="27" t="s">
        <v>71</v>
      </c>
      <c r="I1340" s="27" t="s">
        <v>49</v>
      </c>
      <c r="J1340" s="27" t="s">
        <v>176</v>
      </c>
      <c r="K1340" s="27" t="s">
        <v>51</v>
      </c>
      <c r="L1340" s="31" t="s">
        <v>2221</v>
      </c>
      <c r="M1340" s="32">
        <v>0.36</v>
      </c>
      <c r="N1340" s="27" t="s">
        <v>33</v>
      </c>
      <c r="O1340" s="27" t="s">
        <v>34</v>
      </c>
      <c r="P1340" s="27" t="s">
        <v>164</v>
      </c>
      <c r="Q1340" s="27" t="s">
        <v>2379</v>
      </c>
      <c r="R1340" s="33">
        <v>36801</v>
      </c>
      <c r="S1340" s="34">
        <v>42126</v>
      </c>
      <c r="T1340" s="34">
        <v>42130</v>
      </c>
      <c r="U1340" s="29">
        <v>-128.85599999999999</v>
      </c>
      <c r="V1340" s="26">
        <v>26</v>
      </c>
      <c r="W1340" s="29">
        <v>93.57</v>
      </c>
      <c r="X1340" s="26">
        <v>88298</v>
      </c>
      <c r="Y1340" s="35">
        <v>8.56</v>
      </c>
      <c r="Z1340" s="1" t="s">
        <v>3011</v>
      </c>
      <c r="AA1340" s="36">
        <v>0.93079999999999996</v>
      </c>
      <c r="AB1340" s="54">
        <v>59.884799999999998</v>
      </c>
      <c r="AC1340" s="54">
        <v>1.2955846153846153</v>
      </c>
      <c r="AD1340" s="36">
        <v>219.86519999999999</v>
      </c>
    </row>
    <row r="1341" spans="1:30" s="37" customFormat="1" ht="15.75" customHeight="1" x14ac:dyDescent="0.2">
      <c r="A1341" s="26">
        <v>3367</v>
      </c>
      <c r="B1341" s="27" t="s">
        <v>2373</v>
      </c>
      <c r="C1341" s="27" t="s">
        <v>26</v>
      </c>
      <c r="D1341" s="28">
        <v>0.1</v>
      </c>
      <c r="E1341" s="29">
        <v>4.13</v>
      </c>
      <c r="F1341" s="29">
        <v>0.5</v>
      </c>
      <c r="G1341" s="30" t="s">
        <v>87</v>
      </c>
      <c r="H1341" s="27" t="s">
        <v>71</v>
      </c>
      <c r="I1341" s="27" t="s">
        <v>49</v>
      </c>
      <c r="J1341" s="27" t="s">
        <v>152</v>
      </c>
      <c r="K1341" s="27" t="s">
        <v>73</v>
      </c>
      <c r="L1341" s="31" t="s">
        <v>2375</v>
      </c>
      <c r="M1341" s="32">
        <v>0.39</v>
      </c>
      <c r="N1341" s="27" t="s">
        <v>33</v>
      </c>
      <c r="O1341" s="27" t="s">
        <v>111</v>
      </c>
      <c r="P1341" s="27" t="s">
        <v>317</v>
      </c>
      <c r="Q1341" s="27" t="s">
        <v>2374</v>
      </c>
      <c r="R1341" s="33">
        <v>43221</v>
      </c>
      <c r="S1341" s="34">
        <v>42126</v>
      </c>
      <c r="T1341" s="34">
        <v>42128</v>
      </c>
      <c r="U1341" s="29">
        <v>58.263599999999997</v>
      </c>
      <c r="V1341" s="26">
        <v>18</v>
      </c>
      <c r="W1341" s="29">
        <v>84.44</v>
      </c>
      <c r="X1341" s="26">
        <v>90502</v>
      </c>
      <c r="Y1341" s="35">
        <v>3.5700000000000003</v>
      </c>
      <c r="Z1341" s="1" t="s">
        <v>3014</v>
      </c>
      <c r="AA1341" s="36">
        <v>7.4340000000000011</v>
      </c>
      <c r="AB1341" s="54">
        <v>51.508399999999995</v>
      </c>
      <c r="AC1341" s="54">
        <v>1.8295333333333332</v>
      </c>
      <c r="AD1341" s="36">
        <v>18.242400000000004</v>
      </c>
    </row>
    <row r="1342" spans="1:30" s="37" customFormat="1" ht="15.75" customHeight="1" x14ac:dyDescent="0.2">
      <c r="A1342" s="26">
        <v>27</v>
      </c>
      <c r="B1342" s="27" t="s">
        <v>2383</v>
      </c>
      <c r="C1342" s="27" t="s">
        <v>3094</v>
      </c>
      <c r="D1342" s="28">
        <v>0.04</v>
      </c>
      <c r="E1342" s="29">
        <v>4.1399999999999997</v>
      </c>
      <c r="F1342" s="29">
        <v>6.6</v>
      </c>
      <c r="G1342" s="30" t="s">
        <v>39</v>
      </c>
      <c r="H1342" s="27" t="s">
        <v>94</v>
      </c>
      <c r="I1342" s="27" t="s">
        <v>29</v>
      </c>
      <c r="J1342" s="27" t="s">
        <v>126</v>
      </c>
      <c r="K1342" s="27" t="s">
        <v>73</v>
      </c>
      <c r="L1342" s="31" t="s">
        <v>412</v>
      </c>
      <c r="M1342" s="32">
        <v>0.49</v>
      </c>
      <c r="N1342" s="27" t="s">
        <v>33</v>
      </c>
      <c r="O1342" s="27" t="s">
        <v>60</v>
      </c>
      <c r="P1342" s="27" t="s">
        <v>90</v>
      </c>
      <c r="Q1342" s="27" t="s">
        <v>1963</v>
      </c>
      <c r="R1342" s="33">
        <v>90712</v>
      </c>
      <c r="S1342" s="34">
        <v>42126</v>
      </c>
      <c r="T1342" s="34">
        <v>42128</v>
      </c>
      <c r="U1342" s="29">
        <v>8.8940000000000001</v>
      </c>
      <c r="V1342" s="26">
        <v>12</v>
      </c>
      <c r="W1342" s="29">
        <v>54.78</v>
      </c>
      <c r="X1342" s="26">
        <v>87652</v>
      </c>
      <c r="Y1342" s="35">
        <v>105.41</v>
      </c>
      <c r="Z1342" s="1" t="s">
        <v>3013</v>
      </c>
      <c r="AA1342" s="36">
        <v>1.9872000000000001</v>
      </c>
      <c r="AB1342" s="54">
        <v>27.937799999999999</v>
      </c>
      <c r="AC1342" s="54">
        <v>2.23685</v>
      </c>
      <c r="AD1342" s="36">
        <v>37.2988</v>
      </c>
    </row>
    <row r="1343" spans="1:30" s="37" customFormat="1" ht="15.75" customHeight="1" x14ac:dyDescent="0.2">
      <c r="A1343" s="26">
        <v>2531</v>
      </c>
      <c r="B1343" s="27" t="s">
        <v>2381</v>
      </c>
      <c r="C1343" s="27" t="s">
        <v>116</v>
      </c>
      <c r="D1343" s="28">
        <v>0.08</v>
      </c>
      <c r="E1343" s="29">
        <v>4</v>
      </c>
      <c r="F1343" s="29">
        <v>1.3</v>
      </c>
      <c r="G1343" s="30" t="s">
        <v>39</v>
      </c>
      <c r="H1343" s="27" t="s">
        <v>3095</v>
      </c>
      <c r="I1343" s="27" t="s">
        <v>49</v>
      </c>
      <c r="J1343" s="27" t="s">
        <v>88</v>
      </c>
      <c r="K1343" s="27" t="s">
        <v>51</v>
      </c>
      <c r="L1343" s="31" t="s">
        <v>371</v>
      </c>
      <c r="M1343" s="32">
        <v>0.37</v>
      </c>
      <c r="N1343" s="27" t="s">
        <v>33</v>
      </c>
      <c r="O1343" s="27" t="s">
        <v>60</v>
      </c>
      <c r="P1343" s="27" t="s">
        <v>90</v>
      </c>
      <c r="Q1343" s="27" t="s">
        <v>2382</v>
      </c>
      <c r="R1343" s="33">
        <v>93422</v>
      </c>
      <c r="S1343" s="34">
        <v>42126</v>
      </c>
      <c r="T1343" s="34">
        <v>42128</v>
      </c>
      <c r="U1343" s="29">
        <v>28.4</v>
      </c>
      <c r="V1343" s="26">
        <v>14</v>
      </c>
      <c r="W1343" s="29">
        <v>51.99</v>
      </c>
      <c r="X1343" s="26">
        <v>87452</v>
      </c>
      <c r="Y1343" s="35">
        <v>3.92</v>
      </c>
      <c r="Z1343" s="1" t="s">
        <v>3013</v>
      </c>
      <c r="AA1343" s="36">
        <v>4.4800000000000004</v>
      </c>
      <c r="AB1343" s="54">
        <v>32.753700000000002</v>
      </c>
      <c r="AC1343" s="54">
        <v>1.3740214285714285</v>
      </c>
      <c r="AD1343" s="36">
        <v>17.810000000000002</v>
      </c>
    </row>
    <row r="1344" spans="1:30" s="37" customFormat="1" ht="15.75" customHeight="1" x14ac:dyDescent="0.2">
      <c r="A1344" s="26">
        <v>2578</v>
      </c>
      <c r="B1344" s="27" t="s">
        <v>2378</v>
      </c>
      <c r="C1344" s="27" t="s">
        <v>48</v>
      </c>
      <c r="D1344" s="28">
        <v>0.04</v>
      </c>
      <c r="E1344" s="29">
        <v>8.6</v>
      </c>
      <c r="F1344" s="29">
        <v>6.19</v>
      </c>
      <c r="G1344" s="30" t="s">
        <v>39</v>
      </c>
      <c r="H1344" s="27" t="s">
        <v>71</v>
      </c>
      <c r="I1344" s="27" t="s">
        <v>49</v>
      </c>
      <c r="J1344" s="27" t="s">
        <v>72</v>
      </c>
      <c r="K1344" s="27" t="s">
        <v>73</v>
      </c>
      <c r="L1344" s="31" t="s">
        <v>532</v>
      </c>
      <c r="M1344" s="32">
        <v>0.38</v>
      </c>
      <c r="N1344" s="27" t="s">
        <v>33</v>
      </c>
      <c r="O1344" s="27" t="s">
        <v>34</v>
      </c>
      <c r="P1344" s="27" t="s">
        <v>164</v>
      </c>
      <c r="Q1344" s="27" t="s">
        <v>2379</v>
      </c>
      <c r="R1344" s="33">
        <v>36801</v>
      </c>
      <c r="S1344" s="34">
        <v>42126</v>
      </c>
      <c r="T1344" s="34">
        <v>42128</v>
      </c>
      <c r="U1344" s="29">
        <v>309.71159999999998</v>
      </c>
      <c r="V1344" s="26">
        <v>5</v>
      </c>
      <c r="W1344" s="29">
        <v>46.85</v>
      </c>
      <c r="X1344" s="26">
        <v>88298</v>
      </c>
      <c r="Y1344" s="35">
        <v>4.0999999999999996</v>
      </c>
      <c r="Z1344" s="1" t="s">
        <v>3011</v>
      </c>
      <c r="AA1344" s="36">
        <v>1.7199999999999998</v>
      </c>
      <c r="AB1344" s="54">
        <v>29.047000000000001</v>
      </c>
      <c r="AC1344" s="54">
        <v>3.5606000000000004</v>
      </c>
      <c r="AD1344" s="36">
        <v>-270.77159999999998</v>
      </c>
    </row>
    <row r="1345" spans="1:30" s="37" customFormat="1" ht="15.75" customHeight="1" x14ac:dyDescent="0.2">
      <c r="A1345" s="26">
        <v>94</v>
      </c>
      <c r="B1345" s="27" t="s">
        <v>2390</v>
      </c>
      <c r="C1345" s="27" t="s">
        <v>3094</v>
      </c>
      <c r="D1345" s="28">
        <v>0.04</v>
      </c>
      <c r="E1345" s="29">
        <v>160.97999999999999</v>
      </c>
      <c r="F1345" s="29">
        <v>30</v>
      </c>
      <c r="G1345" s="30" t="s">
        <v>27</v>
      </c>
      <c r="H1345" s="27" t="s">
        <v>71</v>
      </c>
      <c r="I1345" s="27" t="s">
        <v>29</v>
      </c>
      <c r="J1345" s="27" t="s">
        <v>109</v>
      </c>
      <c r="K1345" s="27" t="s">
        <v>58</v>
      </c>
      <c r="L1345" s="31" t="s">
        <v>892</v>
      </c>
      <c r="M1345" s="32">
        <v>0.62</v>
      </c>
      <c r="N1345" s="27" t="s">
        <v>33</v>
      </c>
      <c r="O1345" s="27" t="s">
        <v>53</v>
      </c>
      <c r="P1345" s="27" t="s">
        <v>103</v>
      </c>
      <c r="Q1345" s="27" t="s">
        <v>533</v>
      </c>
      <c r="R1345" s="33">
        <v>60601</v>
      </c>
      <c r="S1345" s="34">
        <v>42127</v>
      </c>
      <c r="T1345" s="34">
        <v>42129</v>
      </c>
      <c r="U1345" s="29">
        <v>116.1</v>
      </c>
      <c r="V1345" s="26">
        <v>37</v>
      </c>
      <c r="W1345" s="29">
        <v>6276.34</v>
      </c>
      <c r="X1345" s="26">
        <v>44231</v>
      </c>
      <c r="Y1345" s="35">
        <v>2.61</v>
      </c>
      <c r="Z1345" s="1" t="s">
        <v>3012</v>
      </c>
      <c r="AA1345" s="36">
        <v>238.25039999999998</v>
      </c>
      <c r="AB1345" s="54">
        <v>2385.0092</v>
      </c>
      <c r="AC1345" s="54">
        <v>105.17110270270271</v>
      </c>
      <c r="AD1345" s="36">
        <v>5891.9895999999999</v>
      </c>
    </row>
    <row r="1346" spans="1:30" s="37" customFormat="1" ht="15.75" customHeight="1" x14ac:dyDescent="0.2">
      <c r="A1346" s="26">
        <v>2157</v>
      </c>
      <c r="B1346" s="27" t="s">
        <v>1681</v>
      </c>
      <c r="C1346" s="27" t="s">
        <v>38</v>
      </c>
      <c r="D1346" s="28">
        <v>0.05</v>
      </c>
      <c r="E1346" s="29">
        <v>297.48</v>
      </c>
      <c r="F1346" s="29">
        <v>18.059999999999999</v>
      </c>
      <c r="G1346" s="30" t="s">
        <v>27</v>
      </c>
      <c r="H1346" s="27" t="s">
        <v>71</v>
      </c>
      <c r="I1346" s="27" t="s">
        <v>41</v>
      </c>
      <c r="J1346" s="27" t="s">
        <v>57</v>
      </c>
      <c r="K1346" s="27" t="s">
        <v>58</v>
      </c>
      <c r="L1346" s="31" t="s">
        <v>387</v>
      </c>
      <c r="M1346" s="32">
        <v>0.6</v>
      </c>
      <c r="N1346" s="27" t="s">
        <v>33</v>
      </c>
      <c r="O1346" s="27" t="s">
        <v>53</v>
      </c>
      <c r="P1346" s="27" t="s">
        <v>289</v>
      </c>
      <c r="Q1346" s="27" t="s">
        <v>1683</v>
      </c>
      <c r="R1346" s="33">
        <v>48093</v>
      </c>
      <c r="S1346" s="34">
        <v>42127</v>
      </c>
      <c r="T1346" s="34">
        <v>42128</v>
      </c>
      <c r="U1346" s="29">
        <v>709.85199999999998</v>
      </c>
      <c r="V1346" s="26">
        <v>14</v>
      </c>
      <c r="W1346" s="29">
        <v>4075.18</v>
      </c>
      <c r="X1346" s="26">
        <v>90386</v>
      </c>
      <c r="Y1346" s="35">
        <v>25.34</v>
      </c>
      <c r="Z1346" s="1" t="s">
        <v>3012</v>
      </c>
      <c r="AA1346" s="36">
        <v>208.23600000000005</v>
      </c>
      <c r="AB1346" s="54">
        <v>1630.0720000000001</v>
      </c>
      <c r="AC1346" s="54">
        <v>174.65057142857142</v>
      </c>
      <c r="AD1346" s="36">
        <v>3139.0320000000002</v>
      </c>
    </row>
    <row r="1347" spans="1:30" s="37" customFormat="1" ht="15.75" customHeight="1" x14ac:dyDescent="0.2">
      <c r="A1347" s="26">
        <v>94</v>
      </c>
      <c r="B1347" s="27" t="s">
        <v>2390</v>
      </c>
      <c r="C1347" s="27" t="s">
        <v>3094</v>
      </c>
      <c r="D1347" s="28">
        <v>0.01</v>
      </c>
      <c r="E1347" s="29">
        <v>17.98</v>
      </c>
      <c r="F1347" s="29">
        <v>4</v>
      </c>
      <c r="G1347" s="30" t="s">
        <v>39</v>
      </c>
      <c r="H1347" s="27" t="s">
        <v>71</v>
      </c>
      <c r="I1347" s="27" t="s">
        <v>41</v>
      </c>
      <c r="J1347" s="27" t="s">
        <v>42</v>
      </c>
      <c r="K1347" s="27" t="s">
        <v>73</v>
      </c>
      <c r="L1347" s="31" t="s">
        <v>1657</v>
      </c>
      <c r="M1347" s="32">
        <v>0.79</v>
      </c>
      <c r="N1347" s="27" t="s">
        <v>33</v>
      </c>
      <c r="O1347" s="27" t="s">
        <v>53</v>
      </c>
      <c r="P1347" s="27" t="s">
        <v>103</v>
      </c>
      <c r="Q1347" s="27" t="s">
        <v>533</v>
      </c>
      <c r="R1347" s="33">
        <v>60601</v>
      </c>
      <c r="S1347" s="34">
        <v>42127</v>
      </c>
      <c r="T1347" s="34">
        <v>42129</v>
      </c>
      <c r="U1347" s="29">
        <v>-87.96</v>
      </c>
      <c r="V1347" s="26">
        <v>146</v>
      </c>
      <c r="W1347" s="29">
        <v>2664.4</v>
      </c>
      <c r="X1347" s="26">
        <v>44231</v>
      </c>
      <c r="Y1347" s="35">
        <v>30.86</v>
      </c>
      <c r="Z1347" s="1" t="s">
        <v>3012</v>
      </c>
      <c r="AA1347" s="36">
        <v>26.250800000000002</v>
      </c>
      <c r="AB1347" s="54">
        <v>559.52399999999989</v>
      </c>
      <c r="AC1347" s="54">
        <v>14.41695890410959</v>
      </c>
      <c r="AD1347" s="36">
        <v>2722.1091999999999</v>
      </c>
    </row>
    <row r="1348" spans="1:30" s="37" customFormat="1" ht="15.75" customHeight="1" x14ac:dyDescent="0.2">
      <c r="A1348" s="26">
        <v>97</v>
      </c>
      <c r="B1348" s="27" t="s">
        <v>2391</v>
      </c>
      <c r="C1348" s="27" t="s">
        <v>3094</v>
      </c>
      <c r="D1348" s="28">
        <v>0.06</v>
      </c>
      <c r="E1348" s="29">
        <v>115.99</v>
      </c>
      <c r="F1348" s="29">
        <v>8.99</v>
      </c>
      <c r="G1348" s="30" t="s">
        <v>39</v>
      </c>
      <c r="H1348" s="27" t="s">
        <v>71</v>
      </c>
      <c r="I1348" s="27" t="s">
        <v>41</v>
      </c>
      <c r="J1348" s="27" t="s">
        <v>135</v>
      </c>
      <c r="K1348" s="27" t="s">
        <v>73</v>
      </c>
      <c r="L1348" s="31" t="s">
        <v>2109</v>
      </c>
      <c r="M1348" s="32">
        <v>0.57999999999999996</v>
      </c>
      <c r="N1348" s="27" t="s">
        <v>33</v>
      </c>
      <c r="O1348" s="27" t="s">
        <v>53</v>
      </c>
      <c r="P1348" s="27" t="s">
        <v>537</v>
      </c>
      <c r="Q1348" s="27" t="s">
        <v>2392</v>
      </c>
      <c r="R1348" s="33">
        <v>66502</v>
      </c>
      <c r="S1348" s="34">
        <v>42127</v>
      </c>
      <c r="T1348" s="34">
        <v>42128</v>
      </c>
      <c r="U1348" s="29">
        <v>685.6146</v>
      </c>
      <c r="V1348" s="26">
        <v>20</v>
      </c>
      <c r="W1348" s="29">
        <v>1952.56</v>
      </c>
      <c r="X1348" s="26">
        <v>87306</v>
      </c>
      <c r="Y1348" s="35">
        <v>297.43</v>
      </c>
      <c r="Z1348" s="1" t="s">
        <v>3012</v>
      </c>
      <c r="AA1348" s="36">
        <v>139.18799999999999</v>
      </c>
      <c r="AB1348" s="54">
        <v>820.07520000000011</v>
      </c>
      <c r="AC1348" s="54">
        <v>56.624239999999993</v>
      </c>
      <c r="AD1348" s="36">
        <v>1118.7674</v>
      </c>
    </row>
    <row r="1349" spans="1:30" s="37" customFormat="1" ht="15.75" customHeight="1" x14ac:dyDescent="0.2">
      <c r="A1349" s="26">
        <v>2157</v>
      </c>
      <c r="B1349" s="27" t="s">
        <v>1681</v>
      </c>
      <c r="C1349" s="27" t="s">
        <v>38</v>
      </c>
      <c r="D1349" s="28">
        <v>7.0000000000000007E-2</v>
      </c>
      <c r="E1349" s="29">
        <v>296.18</v>
      </c>
      <c r="F1349" s="29">
        <v>54.12</v>
      </c>
      <c r="G1349" s="30" t="s">
        <v>27</v>
      </c>
      <c r="H1349" s="27" t="s">
        <v>71</v>
      </c>
      <c r="I1349" s="27" t="s">
        <v>29</v>
      </c>
      <c r="J1349" s="27" t="s">
        <v>30</v>
      </c>
      <c r="K1349" s="27" t="s">
        <v>31</v>
      </c>
      <c r="L1349" s="31" t="s">
        <v>1079</v>
      </c>
      <c r="M1349" s="32">
        <v>0.76</v>
      </c>
      <c r="N1349" s="27" t="s">
        <v>33</v>
      </c>
      <c r="O1349" s="27" t="s">
        <v>53</v>
      </c>
      <c r="P1349" s="27" t="s">
        <v>289</v>
      </c>
      <c r="Q1349" s="27" t="s">
        <v>1683</v>
      </c>
      <c r="R1349" s="33">
        <v>48093</v>
      </c>
      <c r="S1349" s="34">
        <v>42127</v>
      </c>
      <c r="T1349" s="34">
        <v>42129</v>
      </c>
      <c r="U1349" s="29">
        <v>80.809200000000004</v>
      </c>
      <c r="V1349" s="26">
        <v>6</v>
      </c>
      <c r="W1349" s="29">
        <v>1798.23</v>
      </c>
      <c r="X1349" s="26">
        <v>90386</v>
      </c>
      <c r="Y1349" s="35">
        <v>296.11</v>
      </c>
      <c r="Z1349" s="1" t="s">
        <v>3012</v>
      </c>
      <c r="AA1349" s="36">
        <v>124.3956</v>
      </c>
      <c r="AB1349" s="54">
        <v>431.5752</v>
      </c>
      <c r="AC1349" s="54">
        <v>227.7758</v>
      </c>
      <c r="AD1349" s="36">
        <v>1538.9052000000001</v>
      </c>
    </row>
    <row r="1350" spans="1:30" s="37" customFormat="1" ht="15.75" customHeight="1" x14ac:dyDescent="0.2">
      <c r="A1350" s="26">
        <v>97</v>
      </c>
      <c r="B1350" s="27" t="s">
        <v>2391</v>
      </c>
      <c r="C1350" s="27" t="s">
        <v>3094</v>
      </c>
      <c r="D1350" s="28">
        <v>0.04</v>
      </c>
      <c r="E1350" s="29">
        <v>160.97999999999999</v>
      </c>
      <c r="F1350" s="29">
        <v>30</v>
      </c>
      <c r="G1350" s="30" t="s">
        <v>27</v>
      </c>
      <c r="H1350" s="27" t="s">
        <v>71</v>
      </c>
      <c r="I1350" s="27" t="s">
        <v>29</v>
      </c>
      <c r="J1350" s="27" t="s">
        <v>109</v>
      </c>
      <c r="K1350" s="27" t="s">
        <v>58</v>
      </c>
      <c r="L1350" s="31" t="s">
        <v>892</v>
      </c>
      <c r="M1350" s="32">
        <v>0.62</v>
      </c>
      <c r="N1350" s="27" t="s">
        <v>33</v>
      </c>
      <c r="O1350" s="27" t="s">
        <v>53</v>
      </c>
      <c r="P1350" s="27" t="s">
        <v>537</v>
      </c>
      <c r="Q1350" s="27" t="s">
        <v>2392</v>
      </c>
      <c r="R1350" s="33">
        <v>66502</v>
      </c>
      <c r="S1350" s="34">
        <v>42127</v>
      </c>
      <c r="T1350" s="34">
        <v>42129</v>
      </c>
      <c r="U1350" s="29">
        <v>255.42</v>
      </c>
      <c r="V1350" s="26">
        <v>9</v>
      </c>
      <c r="W1350" s="29">
        <v>1526.68</v>
      </c>
      <c r="X1350" s="26">
        <v>87306</v>
      </c>
      <c r="Y1350" s="35">
        <v>12.209999999999999</v>
      </c>
      <c r="Z1350" s="1" t="s">
        <v>3012</v>
      </c>
      <c r="AA1350" s="36">
        <v>57.952799999999996</v>
      </c>
      <c r="AB1350" s="54">
        <v>580.13840000000005</v>
      </c>
      <c r="AC1350" s="54">
        <v>105.1712888888889</v>
      </c>
      <c r="AD1350" s="36">
        <v>1183.3072000000002</v>
      </c>
    </row>
    <row r="1351" spans="1:30" s="37" customFormat="1" ht="15.75" customHeight="1" x14ac:dyDescent="0.2">
      <c r="A1351" s="26">
        <v>3386</v>
      </c>
      <c r="B1351" s="27" t="s">
        <v>2384</v>
      </c>
      <c r="C1351" s="27" t="s">
        <v>26</v>
      </c>
      <c r="D1351" s="28">
        <v>0.04</v>
      </c>
      <c r="E1351" s="29">
        <v>25.38</v>
      </c>
      <c r="F1351" s="29">
        <v>8.99</v>
      </c>
      <c r="G1351" s="30" t="s">
        <v>87</v>
      </c>
      <c r="H1351" s="27" t="s">
        <v>94</v>
      </c>
      <c r="I1351" s="27" t="s">
        <v>29</v>
      </c>
      <c r="J1351" s="27" t="s">
        <v>126</v>
      </c>
      <c r="K1351" s="27" t="s">
        <v>43</v>
      </c>
      <c r="L1351" s="31" t="s">
        <v>2385</v>
      </c>
      <c r="M1351" s="32">
        <v>0.5</v>
      </c>
      <c r="N1351" s="27" t="s">
        <v>33</v>
      </c>
      <c r="O1351" s="27" t="s">
        <v>111</v>
      </c>
      <c r="P1351" s="27" t="s">
        <v>317</v>
      </c>
      <c r="Q1351" s="27" t="s">
        <v>2198</v>
      </c>
      <c r="R1351" s="33">
        <v>43402</v>
      </c>
      <c r="S1351" s="34">
        <v>42127</v>
      </c>
      <c r="T1351" s="34">
        <v>42130</v>
      </c>
      <c r="U1351" s="29">
        <v>152.482</v>
      </c>
      <c r="V1351" s="26">
        <v>35</v>
      </c>
      <c r="W1351" s="29">
        <v>861.3</v>
      </c>
      <c r="X1351" s="26">
        <v>88746</v>
      </c>
      <c r="Y1351" s="35">
        <v>30.89</v>
      </c>
      <c r="Z1351" s="1" t="s">
        <v>3014</v>
      </c>
      <c r="AA1351" s="36">
        <v>35.531999999999996</v>
      </c>
      <c r="AB1351" s="54">
        <v>430.65</v>
      </c>
      <c r="AC1351" s="54">
        <v>12.304285714285713</v>
      </c>
      <c r="AD1351" s="36">
        <v>664.29599999999994</v>
      </c>
    </row>
    <row r="1352" spans="1:30" s="37" customFormat="1" ht="15.75" customHeight="1" x14ac:dyDescent="0.2">
      <c r="A1352" s="26">
        <v>1680</v>
      </c>
      <c r="B1352" s="27" t="s">
        <v>2387</v>
      </c>
      <c r="C1352" s="27" t="s">
        <v>48</v>
      </c>
      <c r="D1352" s="28">
        <v>0.03</v>
      </c>
      <c r="E1352" s="29">
        <v>49.34</v>
      </c>
      <c r="F1352" s="29">
        <v>10.25</v>
      </c>
      <c r="G1352" s="30" t="s">
        <v>39</v>
      </c>
      <c r="H1352" s="27" t="s">
        <v>40</v>
      </c>
      <c r="I1352" s="27" t="s">
        <v>29</v>
      </c>
      <c r="J1352" s="27" t="s">
        <v>126</v>
      </c>
      <c r="K1352" s="27" t="s">
        <v>65</v>
      </c>
      <c r="L1352" s="31" t="s">
        <v>2389</v>
      </c>
      <c r="M1352" s="32">
        <v>0.56999999999999995</v>
      </c>
      <c r="N1352" s="27" t="s">
        <v>33</v>
      </c>
      <c r="O1352" s="27" t="s">
        <v>111</v>
      </c>
      <c r="P1352" s="27" t="s">
        <v>317</v>
      </c>
      <c r="Q1352" s="27" t="s">
        <v>764</v>
      </c>
      <c r="R1352" s="33">
        <v>45014</v>
      </c>
      <c r="S1352" s="34">
        <v>42127</v>
      </c>
      <c r="T1352" s="34">
        <v>42129</v>
      </c>
      <c r="U1352" s="29">
        <v>554.77</v>
      </c>
      <c r="V1352" s="26">
        <v>17</v>
      </c>
      <c r="W1352" s="29">
        <v>817.32</v>
      </c>
      <c r="X1352" s="26">
        <v>86645</v>
      </c>
      <c r="Y1352" s="35">
        <v>49.31</v>
      </c>
      <c r="Z1352" s="1" t="s">
        <v>3014</v>
      </c>
      <c r="AA1352" s="36">
        <v>25.163399999999999</v>
      </c>
      <c r="AB1352" s="54">
        <v>351.44760000000008</v>
      </c>
      <c r="AC1352" s="54">
        <v>27.40425882352941</v>
      </c>
      <c r="AD1352" s="36">
        <v>227.13660000000004</v>
      </c>
    </row>
    <row r="1353" spans="1:30" s="37" customFormat="1" ht="15.75" customHeight="1" x14ac:dyDescent="0.2">
      <c r="A1353" s="26">
        <v>2157</v>
      </c>
      <c r="B1353" s="27" t="s">
        <v>1681</v>
      </c>
      <c r="C1353" s="27" t="s">
        <v>38</v>
      </c>
      <c r="D1353" s="28">
        <v>7.0000000000000007E-2</v>
      </c>
      <c r="E1353" s="29">
        <v>30.93</v>
      </c>
      <c r="F1353" s="29">
        <v>3.92</v>
      </c>
      <c r="G1353" s="30" t="s">
        <v>39</v>
      </c>
      <c r="H1353" s="27" t="s">
        <v>71</v>
      </c>
      <c r="I1353" s="27" t="s">
        <v>29</v>
      </c>
      <c r="J1353" s="27" t="s">
        <v>126</v>
      </c>
      <c r="K1353" s="27" t="s">
        <v>43</v>
      </c>
      <c r="L1353" s="31" t="s">
        <v>1651</v>
      </c>
      <c r="M1353" s="32">
        <v>0.44</v>
      </c>
      <c r="N1353" s="27" t="s">
        <v>33</v>
      </c>
      <c r="O1353" s="27" t="s">
        <v>53</v>
      </c>
      <c r="P1353" s="27" t="s">
        <v>289</v>
      </c>
      <c r="Q1353" s="27" t="s">
        <v>1683</v>
      </c>
      <c r="R1353" s="33">
        <v>48093</v>
      </c>
      <c r="S1353" s="34">
        <v>42127</v>
      </c>
      <c r="T1353" s="34">
        <v>42128</v>
      </c>
      <c r="U1353" s="29">
        <v>398.30250000000001</v>
      </c>
      <c r="V1353" s="26">
        <v>19</v>
      </c>
      <c r="W1353" s="29">
        <v>577.25</v>
      </c>
      <c r="X1353" s="26">
        <v>90386</v>
      </c>
      <c r="Y1353" s="35">
        <v>160.94</v>
      </c>
      <c r="Z1353" s="1" t="s">
        <v>3012</v>
      </c>
      <c r="AA1353" s="36">
        <v>41.136900000000004</v>
      </c>
      <c r="AB1353" s="54">
        <v>323.26000000000005</v>
      </c>
      <c r="AC1353" s="54">
        <v>13.367894736842105</v>
      </c>
      <c r="AD1353" s="36">
        <v>133.89059999999995</v>
      </c>
    </row>
    <row r="1354" spans="1:30" s="37" customFormat="1" ht="15.75" customHeight="1" x14ac:dyDescent="0.2">
      <c r="A1354" s="26">
        <v>1680</v>
      </c>
      <c r="B1354" s="27" t="s">
        <v>2387</v>
      </c>
      <c r="C1354" s="27" t="s">
        <v>48</v>
      </c>
      <c r="D1354" s="28">
        <v>0.09</v>
      </c>
      <c r="E1354" s="29">
        <v>30.98</v>
      </c>
      <c r="F1354" s="29">
        <v>19.510000000000002</v>
      </c>
      <c r="G1354" s="30" t="s">
        <v>39</v>
      </c>
      <c r="H1354" s="27" t="s">
        <v>40</v>
      </c>
      <c r="I1354" s="27" t="s">
        <v>49</v>
      </c>
      <c r="J1354" s="27" t="s">
        <v>345</v>
      </c>
      <c r="K1354" s="27" t="s">
        <v>73</v>
      </c>
      <c r="L1354" s="31" t="s">
        <v>2388</v>
      </c>
      <c r="M1354" s="32">
        <v>0.36</v>
      </c>
      <c r="N1354" s="27" t="s">
        <v>33</v>
      </c>
      <c r="O1354" s="27" t="s">
        <v>111</v>
      </c>
      <c r="P1354" s="27" t="s">
        <v>317</v>
      </c>
      <c r="Q1354" s="27" t="s">
        <v>764</v>
      </c>
      <c r="R1354" s="33">
        <v>45014</v>
      </c>
      <c r="S1354" s="34">
        <v>42127</v>
      </c>
      <c r="T1354" s="34">
        <v>42129</v>
      </c>
      <c r="U1354" s="29">
        <v>-163.53</v>
      </c>
      <c r="V1354" s="26">
        <v>18</v>
      </c>
      <c r="W1354" s="29">
        <v>514.62</v>
      </c>
      <c r="X1354" s="26">
        <v>86645</v>
      </c>
      <c r="Y1354" s="35">
        <v>17.97</v>
      </c>
      <c r="Z1354" s="1" t="s">
        <v>3014</v>
      </c>
      <c r="AA1354" s="36">
        <v>50.187599999999996</v>
      </c>
      <c r="AB1354" s="54">
        <v>329.35680000000002</v>
      </c>
      <c r="AC1354" s="54">
        <v>10.292399999999999</v>
      </c>
      <c r="AD1354" s="36">
        <v>608.45240000000001</v>
      </c>
    </row>
    <row r="1355" spans="1:30" s="37" customFormat="1" ht="15.75" customHeight="1" x14ac:dyDescent="0.2">
      <c r="A1355" s="26">
        <v>1391</v>
      </c>
      <c r="B1355" s="27" t="s">
        <v>2292</v>
      </c>
      <c r="C1355" s="27" t="s">
        <v>48</v>
      </c>
      <c r="D1355" s="28">
        <v>7.0000000000000007E-2</v>
      </c>
      <c r="E1355" s="29">
        <v>12.28</v>
      </c>
      <c r="F1355" s="29">
        <v>6.13</v>
      </c>
      <c r="G1355" s="30" t="s">
        <v>39</v>
      </c>
      <c r="H1355" s="27" t="s">
        <v>3095</v>
      </c>
      <c r="I1355" s="27" t="s">
        <v>49</v>
      </c>
      <c r="J1355" s="27" t="s">
        <v>78</v>
      </c>
      <c r="K1355" s="27" t="s">
        <v>73</v>
      </c>
      <c r="L1355" s="31" t="s">
        <v>2386</v>
      </c>
      <c r="M1355" s="32">
        <v>0.56999999999999995</v>
      </c>
      <c r="N1355" s="27" t="s">
        <v>33</v>
      </c>
      <c r="O1355" s="27" t="s">
        <v>60</v>
      </c>
      <c r="P1355" s="27" t="s">
        <v>90</v>
      </c>
      <c r="Q1355" s="27" t="s">
        <v>2293</v>
      </c>
      <c r="R1355" s="33">
        <v>94086</v>
      </c>
      <c r="S1355" s="34">
        <v>42127</v>
      </c>
      <c r="T1355" s="34">
        <v>42134</v>
      </c>
      <c r="U1355" s="29">
        <v>15.236000000000001</v>
      </c>
      <c r="V1355" s="26">
        <v>33</v>
      </c>
      <c r="W1355" s="29">
        <v>389.59</v>
      </c>
      <c r="X1355" s="26">
        <v>88730</v>
      </c>
      <c r="Y1355" s="35">
        <v>160.94</v>
      </c>
      <c r="Z1355" s="1" t="s">
        <v>3013</v>
      </c>
      <c r="AA1355" s="36">
        <v>28.366800000000001</v>
      </c>
      <c r="AB1355" s="54">
        <v>167.52370000000002</v>
      </c>
      <c r="AC1355" s="54">
        <v>6.7292818181818168</v>
      </c>
      <c r="AD1355" s="36">
        <v>339.85719999999998</v>
      </c>
    </row>
    <row r="1356" spans="1:30" s="37" customFormat="1" ht="15.75" customHeight="1" x14ac:dyDescent="0.2">
      <c r="A1356" s="26">
        <v>1869</v>
      </c>
      <c r="B1356" s="27" t="s">
        <v>2393</v>
      </c>
      <c r="C1356" s="27" t="s">
        <v>3094</v>
      </c>
      <c r="D1356" s="28">
        <v>0.08</v>
      </c>
      <c r="E1356" s="29">
        <v>8.09</v>
      </c>
      <c r="F1356" s="29">
        <v>7.96</v>
      </c>
      <c r="G1356" s="30" t="s">
        <v>39</v>
      </c>
      <c r="H1356" s="27" t="s">
        <v>40</v>
      </c>
      <c r="I1356" s="27" t="s">
        <v>29</v>
      </c>
      <c r="J1356" s="27" t="s">
        <v>126</v>
      </c>
      <c r="K1356" s="27" t="s">
        <v>73</v>
      </c>
      <c r="L1356" s="31" t="s">
        <v>522</v>
      </c>
      <c r="M1356" s="32">
        <v>0.49</v>
      </c>
      <c r="N1356" s="27" t="s">
        <v>33</v>
      </c>
      <c r="O1356" s="27" t="s">
        <v>60</v>
      </c>
      <c r="P1356" s="27" t="s">
        <v>640</v>
      </c>
      <c r="Q1356" s="27" t="s">
        <v>2394</v>
      </c>
      <c r="R1356" s="33">
        <v>88310</v>
      </c>
      <c r="S1356" s="34">
        <v>42127</v>
      </c>
      <c r="T1356" s="34">
        <v>42128</v>
      </c>
      <c r="U1356" s="29">
        <v>-88.82</v>
      </c>
      <c r="V1356" s="26">
        <v>10</v>
      </c>
      <c r="W1356" s="29">
        <v>80.349999999999994</v>
      </c>
      <c r="X1356" s="26">
        <v>89209</v>
      </c>
      <c r="Y1356" s="35">
        <v>115.92999999999999</v>
      </c>
      <c r="Z1356" s="1" t="s">
        <v>3013</v>
      </c>
      <c r="AA1356" s="36">
        <v>6.4719999999999995</v>
      </c>
      <c r="AB1356" s="54">
        <v>40.978499999999997</v>
      </c>
      <c r="AC1356" s="54">
        <v>3.9371499999999999</v>
      </c>
      <c r="AD1356" s="36">
        <v>154.738</v>
      </c>
    </row>
    <row r="1357" spans="1:30" s="37" customFormat="1" ht="15.75" customHeight="1" x14ac:dyDescent="0.2">
      <c r="A1357" s="26">
        <v>3386</v>
      </c>
      <c r="B1357" s="27" t="s">
        <v>2384</v>
      </c>
      <c r="C1357" s="27" t="s">
        <v>26</v>
      </c>
      <c r="D1357" s="28">
        <v>0</v>
      </c>
      <c r="E1357" s="29">
        <v>2.61</v>
      </c>
      <c r="F1357" s="29">
        <v>0.5</v>
      </c>
      <c r="G1357" s="30" t="s">
        <v>39</v>
      </c>
      <c r="H1357" s="27" t="s">
        <v>94</v>
      </c>
      <c r="I1357" s="27" t="s">
        <v>49</v>
      </c>
      <c r="J1357" s="27" t="s">
        <v>152</v>
      </c>
      <c r="K1357" s="27" t="s">
        <v>73</v>
      </c>
      <c r="L1357" s="31" t="s">
        <v>1367</v>
      </c>
      <c r="M1357" s="32">
        <v>0.39</v>
      </c>
      <c r="N1357" s="27" t="s">
        <v>33</v>
      </c>
      <c r="O1357" s="27" t="s">
        <v>111</v>
      </c>
      <c r="P1357" s="27" t="s">
        <v>317</v>
      </c>
      <c r="Q1357" s="27" t="s">
        <v>2198</v>
      </c>
      <c r="R1357" s="33">
        <v>43402</v>
      </c>
      <c r="S1357" s="34">
        <v>42127</v>
      </c>
      <c r="T1357" s="34">
        <v>42129</v>
      </c>
      <c r="U1357" s="29">
        <v>19.554600000000001</v>
      </c>
      <c r="V1357" s="26">
        <v>10</v>
      </c>
      <c r="W1357" s="29">
        <v>28.34</v>
      </c>
      <c r="X1357" s="26">
        <v>88746</v>
      </c>
      <c r="Y1357" s="35">
        <v>8.01</v>
      </c>
      <c r="Z1357" s="1" t="s">
        <v>3014</v>
      </c>
      <c r="AA1357" s="36">
        <v>0</v>
      </c>
      <c r="AB1357" s="54">
        <v>17.287399999999998</v>
      </c>
      <c r="AC1357" s="54">
        <v>1.1052600000000001</v>
      </c>
      <c r="AD1357" s="36">
        <v>8.2853999999999992</v>
      </c>
    </row>
    <row r="1358" spans="1:30" s="37" customFormat="1" ht="15.75" customHeight="1" x14ac:dyDescent="0.2">
      <c r="A1358" s="26">
        <v>3356</v>
      </c>
      <c r="B1358" s="27" t="s">
        <v>2412</v>
      </c>
      <c r="C1358" s="27" t="s">
        <v>116</v>
      </c>
      <c r="D1358" s="28">
        <v>0.03</v>
      </c>
      <c r="E1358" s="29">
        <v>160.97999999999999</v>
      </c>
      <c r="F1358" s="29">
        <v>30</v>
      </c>
      <c r="G1358" s="30" t="s">
        <v>27</v>
      </c>
      <c r="H1358" s="27" t="s">
        <v>94</v>
      </c>
      <c r="I1358" s="27" t="s">
        <v>29</v>
      </c>
      <c r="J1358" s="27" t="s">
        <v>109</v>
      </c>
      <c r="K1358" s="27" t="s">
        <v>58</v>
      </c>
      <c r="L1358" s="31" t="s">
        <v>892</v>
      </c>
      <c r="M1358" s="32">
        <v>0.62</v>
      </c>
      <c r="N1358" s="27" t="s">
        <v>33</v>
      </c>
      <c r="O1358" s="27" t="s">
        <v>60</v>
      </c>
      <c r="P1358" s="27" t="s">
        <v>490</v>
      </c>
      <c r="Q1358" s="27" t="s">
        <v>2413</v>
      </c>
      <c r="R1358" s="33">
        <v>83616</v>
      </c>
      <c r="S1358" s="34">
        <v>42128</v>
      </c>
      <c r="T1358" s="34">
        <v>42129</v>
      </c>
      <c r="U1358" s="29">
        <v>1304.9000000000001</v>
      </c>
      <c r="V1358" s="26">
        <v>18</v>
      </c>
      <c r="W1358" s="29">
        <v>2934.16</v>
      </c>
      <c r="X1358" s="26">
        <v>88588</v>
      </c>
      <c r="Y1358" s="35">
        <v>6.19</v>
      </c>
      <c r="Z1358" s="1" t="s">
        <v>3013</v>
      </c>
      <c r="AA1358" s="36">
        <v>86.929199999999994</v>
      </c>
      <c r="AB1358" s="54">
        <v>1114.9808</v>
      </c>
      <c r="AC1358" s="54">
        <v>101.06551111111111</v>
      </c>
      <c r="AD1358" s="36">
        <v>1512.3307999999997</v>
      </c>
    </row>
    <row r="1359" spans="1:30" s="37" customFormat="1" ht="15.75" customHeight="1" x14ac:dyDescent="0.2">
      <c r="A1359" s="26">
        <v>411</v>
      </c>
      <c r="B1359" s="27" t="s">
        <v>2408</v>
      </c>
      <c r="C1359" s="27" t="s">
        <v>38</v>
      </c>
      <c r="D1359" s="28">
        <v>0.05</v>
      </c>
      <c r="E1359" s="29">
        <v>178.47</v>
      </c>
      <c r="F1359" s="29">
        <v>19.989999999999998</v>
      </c>
      <c r="G1359" s="30" t="s">
        <v>87</v>
      </c>
      <c r="H1359" s="27" t="s">
        <v>40</v>
      </c>
      <c r="I1359" s="27" t="s">
        <v>49</v>
      </c>
      <c r="J1359" s="27" t="s">
        <v>78</v>
      </c>
      <c r="K1359" s="27" t="s">
        <v>73</v>
      </c>
      <c r="L1359" s="31" t="s">
        <v>1011</v>
      </c>
      <c r="M1359" s="32">
        <v>0.55000000000000004</v>
      </c>
      <c r="N1359" s="27" t="s">
        <v>33</v>
      </c>
      <c r="O1359" s="27" t="s">
        <v>60</v>
      </c>
      <c r="P1359" s="27" t="s">
        <v>90</v>
      </c>
      <c r="Q1359" s="27" t="s">
        <v>2136</v>
      </c>
      <c r="R1359" s="33">
        <v>94601</v>
      </c>
      <c r="S1359" s="34">
        <v>42128</v>
      </c>
      <c r="T1359" s="34">
        <v>42131</v>
      </c>
      <c r="U1359" s="29">
        <v>943</v>
      </c>
      <c r="V1359" s="26">
        <v>9</v>
      </c>
      <c r="W1359" s="29">
        <v>1531.31</v>
      </c>
      <c r="X1359" s="26">
        <v>87905</v>
      </c>
      <c r="Y1359" s="35">
        <v>3.25</v>
      </c>
      <c r="Z1359" s="1" t="s">
        <v>3013</v>
      </c>
      <c r="AA1359" s="36">
        <v>80.311500000000009</v>
      </c>
      <c r="AB1359" s="54">
        <v>689.08949999999993</v>
      </c>
      <c r="AC1359" s="54">
        <v>93.58005555555556</v>
      </c>
      <c r="AD1359" s="36">
        <v>488.00849999999991</v>
      </c>
    </row>
    <row r="1360" spans="1:30" s="37" customFormat="1" ht="15.75" customHeight="1" x14ac:dyDescent="0.2">
      <c r="A1360" s="26">
        <v>3356</v>
      </c>
      <c r="B1360" s="27" t="s">
        <v>2412</v>
      </c>
      <c r="C1360" s="27" t="s">
        <v>116</v>
      </c>
      <c r="D1360" s="28">
        <v>0.04</v>
      </c>
      <c r="E1360" s="29">
        <v>65.989999999999995</v>
      </c>
      <c r="F1360" s="29">
        <v>5.63</v>
      </c>
      <c r="G1360" s="30" t="s">
        <v>87</v>
      </c>
      <c r="H1360" s="27" t="s">
        <v>94</v>
      </c>
      <c r="I1360" s="27" t="s">
        <v>41</v>
      </c>
      <c r="J1360" s="27" t="s">
        <v>135</v>
      </c>
      <c r="K1360" s="27" t="s">
        <v>73</v>
      </c>
      <c r="L1360" s="31" t="s">
        <v>2414</v>
      </c>
      <c r="M1360" s="32">
        <v>0.56000000000000005</v>
      </c>
      <c r="N1360" s="27" t="s">
        <v>33</v>
      </c>
      <c r="O1360" s="27" t="s">
        <v>60</v>
      </c>
      <c r="P1360" s="27" t="s">
        <v>490</v>
      </c>
      <c r="Q1360" s="27" t="s">
        <v>2413</v>
      </c>
      <c r="R1360" s="33">
        <v>83616</v>
      </c>
      <c r="S1360" s="34">
        <v>42128</v>
      </c>
      <c r="T1360" s="34">
        <v>42128</v>
      </c>
      <c r="U1360" s="29">
        <v>605.04719999999998</v>
      </c>
      <c r="V1360" s="26">
        <v>15</v>
      </c>
      <c r="W1360" s="29">
        <v>876.88</v>
      </c>
      <c r="X1360" s="26">
        <v>88588</v>
      </c>
      <c r="Y1360" s="35">
        <v>3.25</v>
      </c>
      <c r="Z1360" s="1" t="s">
        <v>3013</v>
      </c>
      <c r="AA1360" s="36">
        <v>39.593999999999994</v>
      </c>
      <c r="AB1360" s="54">
        <v>385.82719999999995</v>
      </c>
      <c r="AC1360" s="54">
        <v>32.736853333333336</v>
      </c>
      <c r="AD1360" s="36">
        <v>226.60880000000009</v>
      </c>
    </row>
    <row r="1361" spans="1:30" s="37" customFormat="1" ht="15.75" customHeight="1" x14ac:dyDescent="0.2">
      <c r="A1361" s="26">
        <v>2650</v>
      </c>
      <c r="B1361" s="27" t="s">
        <v>2402</v>
      </c>
      <c r="C1361" s="27" t="s">
        <v>26</v>
      </c>
      <c r="D1361" s="28">
        <v>0.05</v>
      </c>
      <c r="E1361" s="29">
        <v>35.99</v>
      </c>
      <c r="F1361" s="29">
        <v>5.99</v>
      </c>
      <c r="G1361" s="30" t="s">
        <v>39</v>
      </c>
      <c r="H1361" s="27" t="s">
        <v>94</v>
      </c>
      <c r="I1361" s="27" t="s">
        <v>41</v>
      </c>
      <c r="J1361" s="27" t="s">
        <v>135</v>
      </c>
      <c r="K1361" s="27" t="s">
        <v>51</v>
      </c>
      <c r="L1361" s="31" t="s">
        <v>1372</v>
      </c>
      <c r="M1361" s="32">
        <v>0.38</v>
      </c>
      <c r="N1361" s="27" t="s">
        <v>33</v>
      </c>
      <c r="O1361" s="27" t="s">
        <v>111</v>
      </c>
      <c r="P1361" s="27" t="s">
        <v>320</v>
      </c>
      <c r="Q1361" s="27" t="s">
        <v>2403</v>
      </c>
      <c r="R1361" s="33">
        <v>15234</v>
      </c>
      <c r="S1361" s="34">
        <v>42128</v>
      </c>
      <c r="T1361" s="34">
        <v>42129</v>
      </c>
      <c r="U1361" s="29">
        <v>524.31719999999996</v>
      </c>
      <c r="V1361" s="26">
        <v>26</v>
      </c>
      <c r="W1361" s="29">
        <v>759.88</v>
      </c>
      <c r="X1361" s="26">
        <v>88815</v>
      </c>
      <c r="Y1361" s="35">
        <v>7.58</v>
      </c>
      <c r="Z1361" s="1" t="s">
        <v>3014</v>
      </c>
      <c r="AA1361" s="36">
        <v>46.787000000000006</v>
      </c>
      <c r="AB1361" s="54">
        <v>471.12560000000002</v>
      </c>
      <c r="AC1361" s="54">
        <v>11.105938461538461</v>
      </c>
      <c r="AD1361" s="36">
        <v>182.78579999999999</v>
      </c>
    </row>
    <row r="1362" spans="1:30" s="37" customFormat="1" ht="15.75" customHeight="1" x14ac:dyDescent="0.2">
      <c r="A1362" s="26">
        <v>2693</v>
      </c>
      <c r="B1362" s="27" t="s">
        <v>2407</v>
      </c>
      <c r="C1362" s="27" t="s">
        <v>26</v>
      </c>
      <c r="D1362" s="28">
        <v>0.01</v>
      </c>
      <c r="E1362" s="29">
        <v>30.98</v>
      </c>
      <c r="F1362" s="29">
        <v>9.18</v>
      </c>
      <c r="G1362" s="30" t="s">
        <v>39</v>
      </c>
      <c r="H1362" s="27" t="s">
        <v>71</v>
      </c>
      <c r="I1362" s="27" t="s">
        <v>49</v>
      </c>
      <c r="J1362" s="27" t="s">
        <v>88</v>
      </c>
      <c r="K1362" s="27" t="s">
        <v>73</v>
      </c>
      <c r="L1362" s="31" t="s">
        <v>2249</v>
      </c>
      <c r="M1362" s="32">
        <v>0.4</v>
      </c>
      <c r="N1362" s="27" t="s">
        <v>33</v>
      </c>
      <c r="O1362" s="27" t="s">
        <v>111</v>
      </c>
      <c r="P1362" s="27" t="s">
        <v>633</v>
      </c>
      <c r="Q1362" s="27" t="s">
        <v>1630</v>
      </c>
      <c r="R1362" s="33">
        <v>5201</v>
      </c>
      <c r="S1362" s="34">
        <v>42128</v>
      </c>
      <c r="T1362" s="34">
        <v>42128</v>
      </c>
      <c r="U1362" s="29">
        <v>380.46800000000002</v>
      </c>
      <c r="V1362" s="26">
        <v>20</v>
      </c>
      <c r="W1362" s="29">
        <v>627.19000000000005</v>
      </c>
      <c r="X1362" s="26">
        <v>90624</v>
      </c>
      <c r="Y1362" s="35">
        <v>35.940000000000005</v>
      </c>
      <c r="Z1362" s="1" t="s">
        <v>3014</v>
      </c>
      <c r="AA1362" s="36">
        <v>6.1960000000000006</v>
      </c>
      <c r="AB1362" s="54">
        <v>376.31400000000002</v>
      </c>
      <c r="AC1362" s="54">
        <v>12.543800000000003</v>
      </c>
      <c r="AD1362" s="36">
        <v>231.346</v>
      </c>
    </row>
    <row r="1363" spans="1:30" s="37" customFormat="1" ht="15.75" customHeight="1" x14ac:dyDescent="0.2">
      <c r="A1363" s="26">
        <v>3176</v>
      </c>
      <c r="B1363" s="27" t="s">
        <v>2409</v>
      </c>
      <c r="C1363" s="27" t="s">
        <v>38</v>
      </c>
      <c r="D1363" s="28">
        <v>0.06</v>
      </c>
      <c r="E1363" s="29">
        <v>10.97</v>
      </c>
      <c r="F1363" s="29">
        <v>6.5</v>
      </c>
      <c r="G1363" s="30" t="s">
        <v>39</v>
      </c>
      <c r="H1363" s="27" t="s">
        <v>40</v>
      </c>
      <c r="I1363" s="27" t="s">
        <v>41</v>
      </c>
      <c r="J1363" s="27" t="s">
        <v>42</v>
      </c>
      <c r="K1363" s="27" t="s">
        <v>73</v>
      </c>
      <c r="L1363" s="31" t="s">
        <v>2410</v>
      </c>
      <c r="M1363" s="32">
        <v>0.64</v>
      </c>
      <c r="N1363" s="27" t="s">
        <v>33</v>
      </c>
      <c r="O1363" s="27" t="s">
        <v>34</v>
      </c>
      <c r="P1363" s="27" t="s">
        <v>123</v>
      </c>
      <c r="Q1363" s="27" t="s">
        <v>2411</v>
      </c>
      <c r="R1363" s="33">
        <v>32216</v>
      </c>
      <c r="S1363" s="34">
        <v>42128</v>
      </c>
      <c r="T1363" s="34">
        <v>42130</v>
      </c>
      <c r="U1363" s="29">
        <v>65.597999999999999</v>
      </c>
      <c r="V1363" s="26">
        <v>19</v>
      </c>
      <c r="W1363" s="29">
        <v>215.25</v>
      </c>
      <c r="X1363" s="26">
        <v>90820</v>
      </c>
      <c r="Y1363" s="35">
        <v>3.66</v>
      </c>
      <c r="Z1363" s="1" t="s">
        <v>3011</v>
      </c>
      <c r="AA1363" s="36">
        <v>12.505800000000001</v>
      </c>
      <c r="AB1363" s="54">
        <v>77.489999999999995</v>
      </c>
      <c r="AC1363" s="54">
        <v>7.2505263157894744</v>
      </c>
      <c r="AD1363" s="36">
        <v>130.64619999999999</v>
      </c>
    </row>
    <row r="1364" spans="1:30" s="37" customFormat="1" ht="15.75" customHeight="1" x14ac:dyDescent="0.2">
      <c r="A1364" s="26">
        <v>2289</v>
      </c>
      <c r="B1364" s="27" t="s">
        <v>2401</v>
      </c>
      <c r="C1364" s="27" t="s">
        <v>26</v>
      </c>
      <c r="D1364" s="28">
        <v>0.01</v>
      </c>
      <c r="E1364" s="29">
        <v>7.59</v>
      </c>
      <c r="F1364" s="29">
        <v>4</v>
      </c>
      <c r="G1364" s="30" t="s">
        <v>39</v>
      </c>
      <c r="H1364" s="27" t="s">
        <v>71</v>
      </c>
      <c r="I1364" s="27" t="s">
        <v>29</v>
      </c>
      <c r="J1364" s="27" t="s">
        <v>126</v>
      </c>
      <c r="K1364" s="27" t="s">
        <v>51</v>
      </c>
      <c r="L1364" s="31" t="s">
        <v>1687</v>
      </c>
      <c r="M1364" s="32">
        <v>0.42</v>
      </c>
      <c r="N1364" s="27" t="s">
        <v>33</v>
      </c>
      <c r="O1364" s="27" t="s">
        <v>53</v>
      </c>
      <c r="P1364" s="27" t="s">
        <v>84</v>
      </c>
      <c r="Q1364" s="27" t="s">
        <v>963</v>
      </c>
      <c r="R1364" s="33">
        <v>55337</v>
      </c>
      <c r="S1364" s="34">
        <v>42128</v>
      </c>
      <c r="T1364" s="34">
        <v>42128</v>
      </c>
      <c r="U1364" s="29">
        <v>2.97</v>
      </c>
      <c r="V1364" s="26">
        <v>17</v>
      </c>
      <c r="W1364" s="29">
        <v>136.25</v>
      </c>
      <c r="X1364" s="26">
        <v>88165</v>
      </c>
      <c r="Y1364" s="35">
        <v>30.97</v>
      </c>
      <c r="Z1364" s="1" t="s">
        <v>3012</v>
      </c>
      <c r="AA1364" s="36">
        <v>1.2903</v>
      </c>
      <c r="AB1364" s="54">
        <v>79.025000000000006</v>
      </c>
      <c r="AC1364" s="54">
        <v>3.3661764705882353</v>
      </c>
      <c r="AD1364" s="36">
        <v>127.9897</v>
      </c>
    </row>
    <row r="1365" spans="1:30" s="37" customFormat="1" ht="15.75" customHeight="1" x14ac:dyDescent="0.2">
      <c r="A1365" s="26">
        <v>2689</v>
      </c>
      <c r="B1365" s="27" t="s">
        <v>2404</v>
      </c>
      <c r="C1365" s="27" t="s">
        <v>26</v>
      </c>
      <c r="D1365" s="28">
        <v>0.09</v>
      </c>
      <c r="E1365" s="29">
        <v>3.75</v>
      </c>
      <c r="F1365" s="29">
        <v>0.5</v>
      </c>
      <c r="G1365" s="30" t="s">
        <v>39</v>
      </c>
      <c r="H1365" s="27" t="s">
        <v>71</v>
      </c>
      <c r="I1365" s="27" t="s">
        <v>49</v>
      </c>
      <c r="J1365" s="27" t="s">
        <v>152</v>
      </c>
      <c r="K1365" s="27" t="s">
        <v>73</v>
      </c>
      <c r="L1365" s="31" t="s">
        <v>2405</v>
      </c>
      <c r="M1365" s="32">
        <v>0.37</v>
      </c>
      <c r="N1365" s="27" t="s">
        <v>33</v>
      </c>
      <c r="O1365" s="27" t="s">
        <v>111</v>
      </c>
      <c r="P1365" s="27" t="s">
        <v>397</v>
      </c>
      <c r="Q1365" s="27" t="s">
        <v>2406</v>
      </c>
      <c r="R1365" s="33">
        <v>7011</v>
      </c>
      <c r="S1365" s="34">
        <v>42128</v>
      </c>
      <c r="T1365" s="34">
        <v>42130</v>
      </c>
      <c r="U1365" s="29">
        <v>51.218699999999998</v>
      </c>
      <c r="V1365" s="26">
        <v>21</v>
      </c>
      <c r="W1365" s="29">
        <v>74.23</v>
      </c>
      <c r="X1365" s="26">
        <v>90624</v>
      </c>
      <c r="Y1365" s="35">
        <v>178.42</v>
      </c>
      <c r="Z1365" s="1" t="s">
        <v>3014</v>
      </c>
      <c r="AA1365" s="36">
        <v>7.0874999999999995</v>
      </c>
      <c r="AB1365" s="54">
        <v>46.764900000000004</v>
      </c>
      <c r="AC1365" s="54">
        <v>1.3078619047619049</v>
      </c>
      <c r="AD1365" s="36">
        <v>15.423800000000007</v>
      </c>
    </row>
    <row r="1366" spans="1:30" s="37" customFormat="1" ht="15.75" customHeight="1" x14ac:dyDescent="0.2">
      <c r="A1366" s="26">
        <v>342</v>
      </c>
      <c r="B1366" s="27" t="s">
        <v>2397</v>
      </c>
      <c r="C1366" s="27" t="s">
        <v>26</v>
      </c>
      <c r="D1366" s="28">
        <v>0.01</v>
      </c>
      <c r="E1366" s="29">
        <v>3.26</v>
      </c>
      <c r="F1366" s="29">
        <v>1.86</v>
      </c>
      <c r="G1366" s="30" t="s">
        <v>39</v>
      </c>
      <c r="H1366" s="27" t="s">
        <v>94</v>
      </c>
      <c r="I1366" s="27" t="s">
        <v>49</v>
      </c>
      <c r="J1366" s="27" t="s">
        <v>50</v>
      </c>
      <c r="K1366" s="27" t="s">
        <v>51</v>
      </c>
      <c r="L1366" s="31" t="s">
        <v>2398</v>
      </c>
      <c r="M1366" s="32">
        <v>0.41</v>
      </c>
      <c r="N1366" s="27" t="s">
        <v>33</v>
      </c>
      <c r="O1366" s="27" t="s">
        <v>34</v>
      </c>
      <c r="P1366" s="27" t="s">
        <v>123</v>
      </c>
      <c r="Q1366" s="27" t="s">
        <v>128</v>
      </c>
      <c r="R1366" s="33">
        <v>33181</v>
      </c>
      <c r="S1366" s="34">
        <v>42128</v>
      </c>
      <c r="T1366" s="34">
        <v>42130</v>
      </c>
      <c r="U1366" s="29">
        <v>-4.6683000000000003</v>
      </c>
      <c r="V1366" s="26">
        <v>20</v>
      </c>
      <c r="W1366" s="29">
        <v>73.97</v>
      </c>
      <c r="X1366" s="26">
        <v>3332</v>
      </c>
      <c r="Y1366" s="35">
        <v>10.91</v>
      </c>
      <c r="Z1366" s="1" t="s">
        <v>3011</v>
      </c>
      <c r="AA1366" s="36">
        <v>0.65199999999999991</v>
      </c>
      <c r="AB1366" s="54">
        <v>43.642300000000006</v>
      </c>
      <c r="AC1366" s="54">
        <v>1.5163849999999999</v>
      </c>
      <c r="AD1366" s="36">
        <v>76.126300000000001</v>
      </c>
    </row>
    <row r="1367" spans="1:30" s="37" customFormat="1" ht="15.75" customHeight="1" x14ac:dyDescent="0.2">
      <c r="A1367" s="26">
        <v>3356</v>
      </c>
      <c r="B1367" s="27" t="s">
        <v>2412</v>
      </c>
      <c r="C1367" s="27" t="s">
        <v>116</v>
      </c>
      <c r="D1367" s="28">
        <v>7.0000000000000007E-2</v>
      </c>
      <c r="E1367" s="29">
        <v>5.34</v>
      </c>
      <c r="F1367" s="29">
        <v>5.63</v>
      </c>
      <c r="G1367" s="30" t="s">
        <v>39</v>
      </c>
      <c r="H1367" s="27" t="s">
        <v>94</v>
      </c>
      <c r="I1367" s="27" t="s">
        <v>49</v>
      </c>
      <c r="J1367" s="27" t="s">
        <v>72</v>
      </c>
      <c r="K1367" s="27" t="s">
        <v>73</v>
      </c>
      <c r="L1367" s="31" t="s">
        <v>1723</v>
      </c>
      <c r="M1367" s="32">
        <v>0.39</v>
      </c>
      <c r="N1367" s="27" t="s">
        <v>33</v>
      </c>
      <c r="O1367" s="27" t="s">
        <v>60</v>
      </c>
      <c r="P1367" s="27" t="s">
        <v>490</v>
      </c>
      <c r="Q1367" s="27" t="s">
        <v>2413</v>
      </c>
      <c r="R1367" s="33">
        <v>83616</v>
      </c>
      <c r="S1367" s="34">
        <v>42128</v>
      </c>
      <c r="T1367" s="34">
        <v>42130</v>
      </c>
      <c r="U1367" s="29">
        <v>-116.3455</v>
      </c>
      <c r="V1367" s="26">
        <v>13</v>
      </c>
      <c r="W1367" s="29">
        <v>66.650000000000006</v>
      </c>
      <c r="X1367" s="26">
        <v>88588</v>
      </c>
      <c r="Y1367" s="35">
        <v>5.27</v>
      </c>
      <c r="Z1367" s="1" t="s">
        <v>3013</v>
      </c>
      <c r="AA1367" s="36">
        <v>4.8593999999999999</v>
      </c>
      <c r="AB1367" s="54">
        <v>40.656500000000001</v>
      </c>
      <c r="AC1367" s="54">
        <v>1.9995000000000003</v>
      </c>
      <c r="AD1367" s="36">
        <v>172.5061</v>
      </c>
    </row>
    <row r="1368" spans="1:30" s="37" customFormat="1" ht="15.75" customHeight="1" x14ac:dyDescent="0.2">
      <c r="A1368" s="26">
        <v>1765</v>
      </c>
      <c r="B1368" s="27" t="s">
        <v>2415</v>
      </c>
      <c r="C1368" s="27" t="s">
        <v>3094</v>
      </c>
      <c r="D1368" s="28">
        <v>0</v>
      </c>
      <c r="E1368" s="29">
        <v>5.77</v>
      </c>
      <c r="F1368" s="29">
        <v>4.97</v>
      </c>
      <c r="G1368" s="30" t="s">
        <v>39</v>
      </c>
      <c r="H1368" s="27" t="s">
        <v>40</v>
      </c>
      <c r="I1368" s="27" t="s">
        <v>49</v>
      </c>
      <c r="J1368" s="27" t="s">
        <v>72</v>
      </c>
      <c r="K1368" s="27" t="s">
        <v>73</v>
      </c>
      <c r="L1368" s="31" t="s">
        <v>2416</v>
      </c>
      <c r="M1368" s="32">
        <v>0.35</v>
      </c>
      <c r="N1368" s="27" t="s">
        <v>33</v>
      </c>
      <c r="O1368" s="27" t="s">
        <v>53</v>
      </c>
      <c r="P1368" s="27" t="s">
        <v>80</v>
      </c>
      <c r="Q1368" s="27" t="s">
        <v>2417</v>
      </c>
      <c r="R1368" s="33">
        <v>63141</v>
      </c>
      <c r="S1368" s="34">
        <v>42128</v>
      </c>
      <c r="T1368" s="34">
        <v>42129</v>
      </c>
      <c r="U1368" s="29">
        <v>3.5581</v>
      </c>
      <c r="V1368" s="26">
        <v>8</v>
      </c>
      <c r="W1368" s="29">
        <v>52.43</v>
      </c>
      <c r="X1368" s="26">
        <v>89777</v>
      </c>
      <c r="Y1368" s="35">
        <v>160.94999999999999</v>
      </c>
      <c r="Z1368" s="1" t="s">
        <v>3012</v>
      </c>
      <c r="AA1368" s="36">
        <v>0</v>
      </c>
      <c r="AB1368" s="54">
        <v>34.079500000000003</v>
      </c>
      <c r="AC1368" s="54">
        <v>2.2938125</v>
      </c>
      <c r="AD1368" s="36">
        <v>43.901899999999998</v>
      </c>
    </row>
    <row r="1369" spans="1:30" s="37" customFormat="1" ht="15.75" customHeight="1" x14ac:dyDescent="0.2">
      <c r="A1369" s="26">
        <v>344</v>
      </c>
      <c r="B1369" s="27" t="s">
        <v>2399</v>
      </c>
      <c r="C1369" s="27" t="s">
        <v>26</v>
      </c>
      <c r="D1369" s="28">
        <v>0.01</v>
      </c>
      <c r="E1369" s="29">
        <v>3.26</v>
      </c>
      <c r="F1369" s="29">
        <v>1.86</v>
      </c>
      <c r="G1369" s="30" t="s">
        <v>39</v>
      </c>
      <c r="H1369" s="27" t="s">
        <v>94</v>
      </c>
      <c r="I1369" s="27" t="s">
        <v>49</v>
      </c>
      <c r="J1369" s="27" t="s">
        <v>50</v>
      </c>
      <c r="K1369" s="27" t="s">
        <v>51</v>
      </c>
      <c r="L1369" s="31" t="s">
        <v>2398</v>
      </c>
      <c r="M1369" s="32">
        <v>0.41</v>
      </c>
      <c r="N1369" s="27" t="s">
        <v>33</v>
      </c>
      <c r="O1369" s="27" t="s">
        <v>111</v>
      </c>
      <c r="P1369" s="27" t="s">
        <v>331</v>
      </c>
      <c r="Q1369" s="27" t="s">
        <v>2400</v>
      </c>
      <c r="R1369" s="33">
        <v>4101</v>
      </c>
      <c r="S1369" s="34">
        <v>42128</v>
      </c>
      <c r="T1369" s="34">
        <v>42130</v>
      </c>
      <c r="U1369" s="29">
        <v>0.70199999999999996</v>
      </c>
      <c r="V1369" s="26">
        <v>5</v>
      </c>
      <c r="W1369" s="29">
        <v>18.489999999999998</v>
      </c>
      <c r="X1369" s="26">
        <v>88152</v>
      </c>
      <c r="Y1369" s="35">
        <v>65.949999999999989</v>
      </c>
      <c r="Z1369" s="1" t="s">
        <v>3014</v>
      </c>
      <c r="AA1369" s="36">
        <v>0.16299999999999998</v>
      </c>
      <c r="AB1369" s="54">
        <v>10.9091</v>
      </c>
      <c r="AC1369" s="54">
        <v>1.5161799999999996</v>
      </c>
      <c r="AD1369" s="36">
        <v>15.764999999999999</v>
      </c>
    </row>
    <row r="1370" spans="1:30" s="37" customFormat="1" ht="15.75" customHeight="1" x14ac:dyDescent="0.2">
      <c r="A1370" s="26">
        <v>335</v>
      </c>
      <c r="B1370" s="27" t="s">
        <v>2395</v>
      </c>
      <c r="C1370" s="27" t="s">
        <v>26</v>
      </c>
      <c r="D1370" s="28">
        <v>0.09</v>
      </c>
      <c r="E1370" s="29">
        <v>6.28</v>
      </c>
      <c r="F1370" s="29">
        <v>5.29</v>
      </c>
      <c r="G1370" s="30" t="s">
        <v>39</v>
      </c>
      <c r="H1370" s="27" t="s">
        <v>94</v>
      </c>
      <c r="I1370" s="27" t="s">
        <v>29</v>
      </c>
      <c r="J1370" s="27" t="s">
        <v>126</v>
      </c>
      <c r="K1370" s="27" t="s">
        <v>73</v>
      </c>
      <c r="L1370" s="31" t="s">
        <v>1575</v>
      </c>
      <c r="M1370" s="32">
        <v>0.43</v>
      </c>
      <c r="N1370" s="27" t="s">
        <v>33</v>
      </c>
      <c r="O1370" s="27" t="s">
        <v>60</v>
      </c>
      <c r="P1370" s="27" t="s">
        <v>139</v>
      </c>
      <c r="Q1370" s="27" t="s">
        <v>2396</v>
      </c>
      <c r="R1370" s="33">
        <v>97504</v>
      </c>
      <c r="S1370" s="34">
        <v>42128</v>
      </c>
      <c r="T1370" s="34">
        <v>42128</v>
      </c>
      <c r="U1370" s="29">
        <v>-5.2</v>
      </c>
      <c r="V1370" s="26">
        <v>1</v>
      </c>
      <c r="W1370" s="29">
        <v>8.5299999999999994</v>
      </c>
      <c r="X1370" s="26">
        <v>87277</v>
      </c>
      <c r="Y1370" s="35">
        <v>5.77</v>
      </c>
      <c r="Z1370" s="1" t="s">
        <v>3013</v>
      </c>
      <c r="AA1370" s="36">
        <v>0.56520000000000004</v>
      </c>
      <c r="AB1370" s="54">
        <v>4.8620999999999999</v>
      </c>
      <c r="AC1370" s="54">
        <v>3.6678999999999995</v>
      </c>
      <c r="AD1370" s="36">
        <v>7.8747999999999996</v>
      </c>
    </row>
    <row r="1371" spans="1:30" s="37" customFormat="1" ht="15.75" customHeight="1" x14ac:dyDescent="0.2">
      <c r="A1371" s="26">
        <v>693</v>
      </c>
      <c r="B1371" s="27" t="s">
        <v>1549</v>
      </c>
      <c r="C1371" s="27" t="s">
        <v>38</v>
      </c>
      <c r="D1371" s="28">
        <v>0</v>
      </c>
      <c r="E1371" s="29">
        <v>230.98</v>
      </c>
      <c r="F1371" s="29">
        <v>23.78</v>
      </c>
      <c r="G1371" s="30" t="s">
        <v>27</v>
      </c>
      <c r="H1371" s="27" t="s">
        <v>3095</v>
      </c>
      <c r="I1371" s="27" t="s">
        <v>29</v>
      </c>
      <c r="J1371" s="27" t="s">
        <v>30</v>
      </c>
      <c r="K1371" s="27" t="s">
        <v>31</v>
      </c>
      <c r="L1371" s="31" t="s">
        <v>1528</v>
      </c>
      <c r="M1371" s="32">
        <v>0.6</v>
      </c>
      <c r="N1371" s="27" t="s">
        <v>33</v>
      </c>
      <c r="O1371" s="27" t="s">
        <v>60</v>
      </c>
      <c r="P1371" s="27" t="s">
        <v>61</v>
      </c>
      <c r="Q1371" s="27" t="s">
        <v>1550</v>
      </c>
      <c r="R1371" s="33">
        <v>80229</v>
      </c>
      <c r="S1371" s="34">
        <v>42129</v>
      </c>
      <c r="T1371" s="34">
        <v>42131</v>
      </c>
      <c r="U1371" s="29">
        <v>6095.8602000000001</v>
      </c>
      <c r="V1371" s="26">
        <v>36</v>
      </c>
      <c r="W1371" s="29">
        <v>8834.58</v>
      </c>
      <c r="X1371" s="26">
        <v>87813</v>
      </c>
      <c r="Y1371" s="35">
        <v>230.98</v>
      </c>
      <c r="Z1371" s="1" t="s">
        <v>3013</v>
      </c>
      <c r="AA1371" s="36">
        <v>0</v>
      </c>
      <c r="AB1371" s="54">
        <v>3533.8320000000003</v>
      </c>
      <c r="AC1371" s="54">
        <v>147.24299999999999</v>
      </c>
      <c r="AD1371" s="36">
        <v>2714.9398000000001</v>
      </c>
    </row>
    <row r="1372" spans="1:30" s="37" customFormat="1" ht="15.75" customHeight="1" x14ac:dyDescent="0.2">
      <c r="A1372" s="26">
        <v>2382</v>
      </c>
      <c r="B1372" s="27" t="s">
        <v>2306</v>
      </c>
      <c r="C1372" s="27" t="s">
        <v>48</v>
      </c>
      <c r="D1372" s="28">
        <v>0.06</v>
      </c>
      <c r="E1372" s="29">
        <v>122.99</v>
      </c>
      <c r="F1372" s="29">
        <v>19.989999999999998</v>
      </c>
      <c r="G1372" s="30" t="s">
        <v>39</v>
      </c>
      <c r="H1372" s="27" t="s">
        <v>3095</v>
      </c>
      <c r="I1372" s="27" t="s">
        <v>49</v>
      </c>
      <c r="J1372" s="27" t="s">
        <v>72</v>
      </c>
      <c r="K1372" s="27" t="s">
        <v>73</v>
      </c>
      <c r="L1372" s="31" t="s">
        <v>2424</v>
      </c>
      <c r="M1372" s="32">
        <v>0.37</v>
      </c>
      <c r="N1372" s="27" t="s">
        <v>33</v>
      </c>
      <c r="O1372" s="27" t="s">
        <v>111</v>
      </c>
      <c r="P1372" s="27" t="s">
        <v>112</v>
      </c>
      <c r="Q1372" s="27" t="s">
        <v>113</v>
      </c>
      <c r="R1372" s="33">
        <v>10024</v>
      </c>
      <c r="S1372" s="34">
        <v>42129</v>
      </c>
      <c r="T1372" s="34">
        <v>42131</v>
      </c>
      <c r="U1372" s="29">
        <v>1408.1865</v>
      </c>
      <c r="V1372" s="26">
        <v>48</v>
      </c>
      <c r="W1372" s="29">
        <v>5911.35</v>
      </c>
      <c r="X1372" s="26">
        <v>962</v>
      </c>
      <c r="Y1372" s="35">
        <v>120.94</v>
      </c>
      <c r="Z1372" s="1" t="s">
        <v>3014</v>
      </c>
      <c r="AA1372" s="36">
        <v>354.21119999999996</v>
      </c>
      <c r="AB1372" s="54">
        <v>3724.1505000000002</v>
      </c>
      <c r="AC1372" s="54">
        <v>45.566656250000001</v>
      </c>
      <c r="AD1372" s="36">
        <v>4128.9623000000001</v>
      </c>
    </row>
    <row r="1373" spans="1:30" s="37" customFormat="1" ht="15.75" customHeight="1" x14ac:dyDescent="0.2">
      <c r="A1373" s="26">
        <v>2382</v>
      </c>
      <c r="B1373" s="27" t="s">
        <v>2306</v>
      </c>
      <c r="C1373" s="27" t="s">
        <v>48</v>
      </c>
      <c r="D1373" s="28">
        <v>0.08</v>
      </c>
      <c r="E1373" s="29">
        <v>68.81</v>
      </c>
      <c r="F1373" s="29">
        <v>60</v>
      </c>
      <c r="G1373" s="30" t="s">
        <v>27</v>
      </c>
      <c r="H1373" s="27" t="s">
        <v>3095</v>
      </c>
      <c r="I1373" s="27" t="s">
        <v>49</v>
      </c>
      <c r="J1373" s="27" t="s">
        <v>95</v>
      </c>
      <c r="K1373" s="27" t="s">
        <v>58</v>
      </c>
      <c r="L1373" s="31" t="s">
        <v>1676</v>
      </c>
      <c r="M1373" s="32">
        <v>0.41</v>
      </c>
      <c r="N1373" s="27" t="s">
        <v>33</v>
      </c>
      <c r="O1373" s="27" t="s">
        <v>111</v>
      </c>
      <c r="P1373" s="27" t="s">
        <v>112</v>
      </c>
      <c r="Q1373" s="27" t="s">
        <v>113</v>
      </c>
      <c r="R1373" s="33">
        <v>10024</v>
      </c>
      <c r="S1373" s="34">
        <v>42129</v>
      </c>
      <c r="T1373" s="34">
        <v>42131</v>
      </c>
      <c r="U1373" s="29">
        <v>-1069.72</v>
      </c>
      <c r="V1373" s="26">
        <v>68</v>
      </c>
      <c r="W1373" s="29">
        <v>4649.8500000000004</v>
      </c>
      <c r="X1373" s="26">
        <v>962</v>
      </c>
      <c r="Y1373" s="35">
        <v>55.97</v>
      </c>
      <c r="Z1373" s="1" t="s">
        <v>3014</v>
      </c>
      <c r="AA1373" s="36">
        <v>374.32640000000004</v>
      </c>
      <c r="AB1373" s="54">
        <v>2743.4115000000006</v>
      </c>
      <c r="AC1373" s="54">
        <v>28.035860294117651</v>
      </c>
      <c r="AD1373" s="36">
        <v>5285.2436000000007</v>
      </c>
    </row>
    <row r="1374" spans="1:30" s="37" customFormat="1" ht="15.75" customHeight="1" x14ac:dyDescent="0.2">
      <c r="A1374" s="26">
        <v>2273</v>
      </c>
      <c r="B1374" s="27" t="s">
        <v>2418</v>
      </c>
      <c r="C1374" s="27" t="s">
        <v>48</v>
      </c>
      <c r="D1374" s="28">
        <v>0.04</v>
      </c>
      <c r="E1374" s="29">
        <v>120.98</v>
      </c>
      <c r="F1374" s="29">
        <v>3.99</v>
      </c>
      <c r="G1374" s="30" t="s">
        <v>39</v>
      </c>
      <c r="H1374" s="27" t="s">
        <v>94</v>
      </c>
      <c r="I1374" s="27" t="s">
        <v>49</v>
      </c>
      <c r="J1374" s="27" t="s">
        <v>95</v>
      </c>
      <c r="K1374" s="27" t="s">
        <v>73</v>
      </c>
      <c r="L1374" s="31" t="s">
        <v>2419</v>
      </c>
      <c r="M1374" s="32">
        <v>0.6</v>
      </c>
      <c r="N1374" s="27" t="s">
        <v>33</v>
      </c>
      <c r="O1374" s="27" t="s">
        <v>53</v>
      </c>
      <c r="P1374" s="27" t="s">
        <v>187</v>
      </c>
      <c r="Q1374" s="27" t="s">
        <v>2420</v>
      </c>
      <c r="R1374" s="33">
        <v>78550</v>
      </c>
      <c r="S1374" s="34">
        <v>42129</v>
      </c>
      <c r="T1374" s="34">
        <v>42129</v>
      </c>
      <c r="U1374" s="29">
        <v>1389.5771999999999</v>
      </c>
      <c r="V1374" s="26">
        <v>17</v>
      </c>
      <c r="W1374" s="29">
        <v>2013.88</v>
      </c>
      <c r="X1374" s="26">
        <v>90109</v>
      </c>
      <c r="Y1374" s="35">
        <v>23.939999999999998</v>
      </c>
      <c r="Z1374" s="1" t="s">
        <v>3012</v>
      </c>
      <c r="AA1374" s="36">
        <v>82.266400000000004</v>
      </c>
      <c r="AB1374" s="54">
        <v>805.55200000000013</v>
      </c>
      <c r="AC1374" s="54">
        <v>71.078117647058818</v>
      </c>
      <c r="AD1374" s="36">
        <v>538.04640000000018</v>
      </c>
    </row>
    <row r="1375" spans="1:30" s="37" customFormat="1" ht="15.75" customHeight="1" x14ac:dyDescent="0.2">
      <c r="A1375" s="26">
        <v>2379</v>
      </c>
      <c r="B1375" s="27" t="s">
        <v>2423</v>
      </c>
      <c r="C1375" s="27" t="s">
        <v>48</v>
      </c>
      <c r="D1375" s="28">
        <v>0.06</v>
      </c>
      <c r="E1375" s="29">
        <v>122.99</v>
      </c>
      <c r="F1375" s="29">
        <v>19.989999999999998</v>
      </c>
      <c r="G1375" s="30" t="s">
        <v>39</v>
      </c>
      <c r="H1375" s="27" t="s">
        <v>3095</v>
      </c>
      <c r="I1375" s="27" t="s">
        <v>49</v>
      </c>
      <c r="J1375" s="27" t="s">
        <v>72</v>
      </c>
      <c r="K1375" s="27" t="s">
        <v>73</v>
      </c>
      <c r="L1375" s="31" t="s">
        <v>2424</v>
      </c>
      <c r="M1375" s="32">
        <v>0.37</v>
      </c>
      <c r="N1375" s="27" t="s">
        <v>33</v>
      </c>
      <c r="O1375" s="27" t="s">
        <v>53</v>
      </c>
      <c r="P1375" s="27" t="s">
        <v>289</v>
      </c>
      <c r="Q1375" s="27" t="s">
        <v>2065</v>
      </c>
      <c r="R1375" s="33">
        <v>48135</v>
      </c>
      <c r="S1375" s="34">
        <v>42129</v>
      </c>
      <c r="T1375" s="34">
        <v>42131</v>
      </c>
      <c r="U1375" s="29">
        <v>1019.7096</v>
      </c>
      <c r="V1375" s="26">
        <v>12</v>
      </c>
      <c r="W1375" s="29">
        <v>1477.84</v>
      </c>
      <c r="X1375" s="26">
        <v>86655</v>
      </c>
      <c r="Y1375" s="35">
        <v>122.92999999999999</v>
      </c>
      <c r="Z1375" s="1" t="s">
        <v>3012</v>
      </c>
      <c r="AA1375" s="36">
        <v>88.552799999999991</v>
      </c>
      <c r="AB1375" s="54">
        <v>931.03919999999994</v>
      </c>
      <c r="AC1375" s="54">
        <v>45.566733333333332</v>
      </c>
      <c r="AD1375" s="36">
        <v>349.58760000000007</v>
      </c>
    </row>
    <row r="1376" spans="1:30" s="37" customFormat="1" ht="15.75" customHeight="1" x14ac:dyDescent="0.2">
      <c r="A1376" s="26">
        <v>2380</v>
      </c>
      <c r="B1376" s="27" t="s">
        <v>2304</v>
      </c>
      <c r="C1376" s="27" t="s">
        <v>48</v>
      </c>
      <c r="D1376" s="28">
        <v>0.08</v>
      </c>
      <c r="E1376" s="29">
        <v>68.81</v>
      </c>
      <c r="F1376" s="29">
        <v>60</v>
      </c>
      <c r="G1376" s="30" t="s">
        <v>27</v>
      </c>
      <c r="H1376" s="27" t="s">
        <v>3095</v>
      </c>
      <c r="I1376" s="27" t="s">
        <v>49</v>
      </c>
      <c r="J1376" s="27" t="s">
        <v>95</v>
      </c>
      <c r="K1376" s="27" t="s">
        <v>58</v>
      </c>
      <c r="L1376" s="31" t="s">
        <v>1676</v>
      </c>
      <c r="M1376" s="32">
        <v>0.41</v>
      </c>
      <c r="N1376" s="27" t="s">
        <v>33</v>
      </c>
      <c r="O1376" s="27" t="s">
        <v>53</v>
      </c>
      <c r="P1376" s="27" t="s">
        <v>289</v>
      </c>
      <c r="Q1376" s="27" t="s">
        <v>2305</v>
      </c>
      <c r="R1376" s="33">
        <v>49505</v>
      </c>
      <c r="S1376" s="34">
        <v>42129</v>
      </c>
      <c r="T1376" s="34">
        <v>42131</v>
      </c>
      <c r="U1376" s="29">
        <v>-1069.72</v>
      </c>
      <c r="V1376" s="26">
        <v>17</v>
      </c>
      <c r="W1376" s="29">
        <v>1162.46</v>
      </c>
      <c r="X1376" s="26">
        <v>86655</v>
      </c>
      <c r="Y1376" s="35">
        <v>68.73</v>
      </c>
      <c r="Z1376" s="1" t="s">
        <v>3012</v>
      </c>
      <c r="AA1376" s="36">
        <v>93.581600000000009</v>
      </c>
      <c r="AB1376" s="54">
        <v>685.85140000000013</v>
      </c>
      <c r="AC1376" s="54">
        <v>28.035799999999995</v>
      </c>
      <c r="AD1376" s="36">
        <v>2078.5983999999999</v>
      </c>
    </row>
    <row r="1377" spans="1:30" s="37" customFormat="1" ht="15.75" customHeight="1" x14ac:dyDescent="0.2">
      <c r="A1377" s="26">
        <v>2509</v>
      </c>
      <c r="B1377" s="27" t="s">
        <v>2426</v>
      </c>
      <c r="C1377" s="27" t="s">
        <v>116</v>
      </c>
      <c r="D1377" s="28">
        <v>0.05</v>
      </c>
      <c r="E1377" s="29">
        <v>30.98</v>
      </c>
      <c r="F1377" s="29">
        <v>9.18</v>
      </c>
      <c r="G1377" s="30" t="s">
        <v>39</v>
      </c>
      <c r="H1377" s="27" t="s">
        <v>71</v>
      </c>
      <c r="I1377" s="27" t="s">
        <v>49</v>
      </c>
      <c r="J1377" s="27" t="s">
        <v>88</v>
      </c>
      <c r="K1377" s="27" t="s">
        <v>73</v>
      </c>
      <c r="L1377" s="31" t="s">
        <v>2249</v>
      </c>
      <c r="M1377" s="32">
        <v>0.4</v>
      </c>
      <c r="N1377" s="27" t="s">
        <v>33</v>
      </c>
      <c r="O1377" s="27" t="s">
        <v>111</v>
      </c>
      <c r="P1377" s="27" t="s">
        <v>331</v>
      </c>
      <c r="Q1377" s="27" t="s">
        <v>2427</v>
      </c>
      <c r="R1377" s="33">
        <v>4106</v>
      </c>
      <c r="S1377" s="34">
        <v>42129</v>
      </c>
      <c r="T1377" s="34">
        <v>42129</v>
      </c>
      <c r="U1377" s="29">
        <v>308.67</v>
      </c>
      <c r="V1377" s="26">
        <v>15</v>
      </c>
      <c r="W1377" s="29">
        <v>462.57</v>
      </c>
      <c r="X1377" s="26">
        <v>87029</v>
      </c>
      <c r="Y1377" s="35">
        <v>122.92999999999999</v>
      </c>
      <c r="Z1377" s="1" t="s">
        <v>3014</v>
      </c>
      <c r="AA1377" s="36">
        <v>23.235000000000003</v>
      </c>
      <c r="AB1377" s="54">
        <v>277.54199999999997</v>
      </c>
      <c r="AC1377" s="54">
        <v>12.3352</v>
      </c>
      <c r="AD1377" s="36">
        <v>121.48499999999996</v>
      </c>
    </row>
    <row r="1378" spans="1:30" s="37" customFormat="1" ht="15.75" customHeight="1" x14ac:dyDescent="0.2">
      <c r="A1378" s="26">
        <v>2274</v>
      </c>
      <c r="B1378" s="27" t="s">
        <v>2421</v>
      </c>
      <c r="C1378" s="27" t="s">
        <v>48</v>
      </c>
      <c r="D1378" s="28">
        <v>0.05</v>
      </c>
      <c r="E1378" s="29">
        <v>23.99</v>
      </c>
      <c r="F1378" s="29">
        <v>15.68</v>
      </c>
      <c r="G1378" s="30" t="s">
        <v>27</v>
      </c>
      <c r="H1378" s="27" t="s">
        <v>94</v>
      </c>
      <c r="I1378" s="27" t="s">
        <v>29</v>
      </c>
      <c r="J1378" s="27" t="s">
        <v>126</v>
      </c>
      <c r="K1378" s="27" t="s">
        <v>58</v>
      </c>
      <c r="L1378" s="31" t="s">
        <v>2422</v>
      </c>
      <c r="M1378" s="32">
        <v>0.62</v>
      </c>
      <c r="N1378" s="27" t="s">
        <v>33</v>
      </c>
      <c r="O1378" s="27" t="s">
        <v>53</v>
      </c>
      <c r="P1378" s="27" t="s">
        <v>187</v>
      </c>
      <c r="Q1378" s="27" t="s">
        <v>1753</v>
      </c>
      <c r="R1378" s="33">
        <v>77036</v>
      </c>
      <c r="S1378" s="34">
        <v>42129</v>
      </c>
      <c r="T1378" s="34">
        <v>42133</v>
      </c>
      <c r="U1378" s="29">
        <v>-133.71</v>
      </c>
      <c r="V1378" s="26">
        <v>12</v>
      </c>
      <c r="W1378" s="29">
        <v>298.51</v>
      </c>
      <c r="X1378" s="26">
        <v>90109</v>
      </c>
      <c r="Y1378" s="35">
        <v>68.73</v>
      </c>
      <c r="Z1378" s="1" t="s">
        <v>3012</v>
      </c>
      <c r="AA1378" s="36">
        <v>14.394</v>
      </c>
      <c r="AB1378" s="54">
        <v>113.43379999999999</v>
      </c>
      <c r="AC1378" s="54">
        <v>15.423016666666665</v>
      </c>
      <c r="AD1378" s="36">
        <v>402.14599999999996</v>
      </c>
    </row>
    <row r="1379" spans="1:30" s="37" customFormat="1" ht="15.75" customHeight="1" x14ac:dyDescent="0.2">
      <c r="A1379" s="26">
        <v>2273</v>
      </c>
      <c r="B1379" s="27" t="s">
        <v>2418</v>
      </c>
      <c r="C1379" s="27" t="s">
        <v>48</v>
      </c>
      <c r="D1379" s="28">
        <v>0.02</v>
      </c>
      <c r="E1379" s="29">
        <v>55.99</v>
      </c>
      <c r="F1379" s="29">
        <v>5</v>
      </c>
      <c r="G1379" s="30" t="s">
        <v>39</v>
      </c>
      <c r="H1379" s="27" t="s">
        <v>94</v>
      </c>
      <c r="I1379" s="27" t="s">
        <v>41</v>
      </c>
      <c r="J1379" s="27" t="s">
        <v>135</v>
      </c>
      <c r="K1379" s="27" t="s">
        <v>43</v>
      </c>
      <c r="L1379" s="31" t="s">
        <v>1938</v>
      </c>
      <c r="M1379" s="32">
        <v>0.83</v>
      </c>
      <c r="N1379" s="27" t="s">
        <v>33</v>
      </c>
      <c r="O1379" s="27" t="s">
        <v>53</v>
      </c>
      <c r="P1379" s="27" t="s">
        <v>187</v>
      </c>
      <c r="Q1379" s="27" t="s">
        <v>2420</v>
      </c>
      <c r="R1379" s="33">
        <v>78550</v>
      </c>
      <c r="S1379" s="34">
        <v>42129</v>
      </c>
      <c r="T1379" s="34">
        <v>42129</v>
      </c>
      <c r="U1379" s="29">
        <v>-222.816</v>
      </c>
      <c r="V1379" s="26">
        <v>4</v>
      </c>
      <c r="W1379" s="29">
        <v>201.32</v>
      </c>
      <c r="X1379" s="26">
        <v>90109</v>
      </c>
      <c r="Y1379" s="35">
        <v>15.120000000000001</v>
      </c>
      <c r="Z1379" s="1" t="s">
        <v>3012</v>
      </c>
      <c r="AA1379" s="36">
        <v>4.4792000000000005</v>
      </c>
      <c r="AB1379" s="54">
        <v>34.22440000000001</v>
      </c>
      <c r="AC1379" s="54">
        <v>41.773899999999998</v>
      </c>
      <c r="AD1379" s="36">
        <v>414.65679999999998</v>
      </c>
    </row>
    <row r="1380" spans="1:30" s="37" customFormat="1" ht="15.75" customHeight="1" x14ac:dyDescent="0.2">
      <c r="A1380" s="26">
        <v>1979</v>
      </c>
      <c r="B1380" s="27" t="s">
        <v>2428</v>
      </c>
      <c r="C1380" s="27" t="s">
        <v>3094</v>
      </c>
      <c r="D1380" s="28">
        <v>0.05</v>
      </c>
      <c r="E1380" s="29">
        <v>20.99</v>
      </c>
      <c r="F1380" s="29">
        <v>3.3</v>
      </c>
      <c r="G1380" s="30" t="s">
        <v>39</v>
      </c>
      <c r="H1380" s="27" t="s">
        <v>94</v>
      </c>
      <c r="I1380" s="27" t="s">
        <v>41</v>
      </c>
      <c r="J1380" s="27" t="s">
        <v>135</v>
      </c>
      <c r="K1380" s="27" t="s">
        <v>43</v>
      </c>
      <c r="L1380" s="31" t="s">
        <v>1583</v>
      </c>
      <c r="M1380" s="32">
        <v>0.81</v>
      </c>
      <c r="N1380" s="27" t="s">
        <v>33</v>
      </c>
      <c r="O1380" s="27" t="s">
        <v>60</v>
      </c>
      <c r="P1380" s="27" t="s">
        <v>61</v>
      </c>
      <c r="Q1380" s="27" t="s">
        <v>2429</v>
      </c>
      <c r="R1380" s="33">
        <v>80122</v>
      </c>
      <c r="S1380" s="34">
        <v>42129</v>
      </c>
      <c r="T1380" s="34">
        <v>42130</v>
      </c>
      <c r="U1380" s="29">
        <v>21.883400000000002</v>
      </c>
      <c r="V1380" s="26">
        <v>4</v>
      </c>
      <c r="W1380" s="29">
        <v>72.75</v>
      </c>
      <c r="X1380" s="26">
        <v>87757</v>
      </c>
      <c r="Y1380" s="35">
        <v>30.93</v>
      </c>
      <c r="Z1380" s="1" t="s">
        <v>3013</v>
      </c>
      <c r="AA1380" s="36">
        <v>4.1979999999999995</v>
      </c>
      <c r="AB1380" s="54">
        <v>13.822499999999996</v>
      </c>
      <c r="AC1380" s="54">
        <v>14.731875</v>
      </c>
      <c r="AD1380" s="36">
        <v>43.368600000000001</v>
      </c>
    </row>
    <row r="1381" spans="1:30" s="37" customFormat="1" ht="15.75" customHeight="1" x14ac:dyDescent="0.2">
      <c r="A1381" s="26">
        <v>1101</v>
      </c>
      <c r="B1381" s="27" t="s">
        <v>2425</v>
      </c>
      <c r="C1381" s="27" t="s">
        <v>116</v>
      </c>
      <c r="D1381" s="28">
        <v>0.02</v>
      </c>
      <c r="E1381" s="29">
        <v>15.14</v>
      </c>
      <c r="F1381" s="29">
        <v>4.53</v>
      </c>
      <c r="G1381" s="30" t="s">
        <v>39</v>
      </c>
      <c r="H1381" s="27" t="s">
        <v>3095</v>
      </c>
      <c r="I1381" s="27" t="s">
        <v>49</v>
      </c>
      <c r="J1381" s="27" t="s">
        <v>78</v>
      </c>
      <c r="K1381" s="27" t="s">
        <v>73</v>
      </c>
      <c r="L1381" s="31" t="s">
        <v>1355</v>
      </c>
      <c r="M1381" s="32">
        <v>0.81</v>
      </c>
      <c r="N1381" s="27" t="s">
        <v>33</v>
      </c>
      <c r="O1381" s="27" t="s">
        <v>60</v>
      </c>
      <c r="P1381" s="27" t="s">
        <v>90</v>
      </c>
      <c r="Q1381" s="27" t="s">
        <v>1255</v>
      </c>
      <c r="R1381" s="33">
        <v>93030</v>
      </c>
      <c r="S1381" s="34">
        <v>42129</v>
      </c>
      <c r="T1381" s="34">
        <v>42130</v>
      </c>
      <c r="U1381" s="29">
        <v>5.8840000000000003</v>
      </c>
      <c r="V1381" s="26">
        <v>3</v>
      </c>
      <c r="W1381" s="29">
        <v>51.02</v>
      </c>
      <c r="X1381" s="26">
        <v>91488</v>
      </c>
      <c r="Y1381" s="35">
        <v>20.939999999999998</v>
      </c>
      <c r="Z1381" s="1" t="s">
        <v>3013</v>
      </c>
      <c r="AA1381" s="36">
        <v>0.9084000000000001</v>
      </c>
      <c r="AB1381" s="54">
        <v>9.6937999999999978</v>
      </c>
      <c r="AC1381" s="54">
        <v>13.775400000000001</v>
      </c>
      <c r="AD1381" s="36">
        <v>39.697600000000001</v>
      </c>
    </row>
    <row r="1382" spans="1:30" s="37" customFormat="1" ht="15.75" customHeight="1" x14ac:dyDescent="0.2">
      <c r="A1382" s="26">
        <v>1416</v>
      </c>
      <c r="B1382" s="27" t="s">
        <v>2430</v>
      </c>
      <c r="C1382" s="27" t="s">
        <v>26</v>
      </c>
      <c r="D1382" s="28">
        <v>0.02</v>
      </c>
      <c r="E1382" s="29">
        <v>417.4</v>
      </c>
      <c r="F1382" s="29">
        <v>75.23</v>
      </c>
      <c r="G1382" s="30" t="s">
        <v>27</v>
      </c>
      <c r="H1382" s="27" t="s">
        <v>3095</v>
      </c>
      <c r="I1382" s="27" t="s">
        <v>29</v>
      </c>
      <c r="J1382" s="27" t="s">
        <v>30</v>
      </c>
      <c r="K1382" s="27" t="s">
        <v>31</v>
      </c>
      <c r="L1382" s="31" t="s">
        <v>1195</v>
      </c>
      <c r="M1382" s="32">
        <v>0.79</v>
      </c>
      <c r="N1382" s="27" t="s">
        <v>33</v>
      </c>
      <c r="O1382" s="27" t="s">
        <v>53</v>
      </c>
      <c r="P1382" s="27" t="s">
        <v>54</v>
      </c>
      <c r="Q1382" s="27" t="s">
        <v>1512</v>
      </c>
      <c r="R1382" s="33">
        <v>46203</v>
      </c>
      <c r="S1382" s="34">
        <v>42130</v>
      </c>
      <c r="T1382" s="34">
        <v>42131</v>
      </c>
      <c r="U1382" s="29">
        <v>-634.86540000000002</v>
      </c>
      <c r="V1382" s="26">
        <v>1</v>
      </c>
      <c r="W1382" s="29">
        <v>471.21</v>
      </c>
      <c r="X1382" s="26">
        <v>90538</v>
      </c>
      <c r="Y1382" s="35">
        <v>417.38</v>
      </c>
      <c r="Z1382" s="1" t="s">
        <v>3012</v>
      </c>
      <c r="AA1382" s="36">
        <v>8.347999999999999</v>
      </c>
      <c r="AB1382" s="54">
        <v>98.954099999999983</v>
      </c>
      <c r="AC1382" s="54">
        <v>372.2559</v>
      </c>
      <c r="AD1382" s="36">
        <v>1022.4974</v>
      </c>
    </row>
    <row r="1383" spans="1:30" s="37" customFormat="1" ht="15.75" customHeight="1" x14ac:dyDescent="0.2">
      <c r="A1383" s="26">
        <v>1986</v>
      </c>
      <c r="B1383" s="27" t="s">
        <v>2433</v>
      </c>
      <c r="C1383" s="27" t="s">
        <v>3094</v>
      </c>
      <c r="D1383" s="28">
        <v>0.01</v>
      </c>
      <c r="E1383" s="29">
        <v>15.31</v>
      </c>
      <c r="F1383" s="29">
        <v>8.7799999999999994</v>
      </c>
      <c r="G1383" s="30" t="s">
        <v>39</v>
      </c>
      <c r="H1383" s="27" t="s">
        <v>71</v>
      </c>
      <c r="I1383" s="27" t="s">
        <v>49</v>
      </c>
      <c r="J1383" s="27" t="s">
        <v>78</v>
      </c>
      <c r="K1383" s="27" t="s">
        <v>73</v>
      </c>
      <c r="L1383" s="31" t="s">
        <v>2434</v>
      </c>
      <c r="M1383" s="32">
        <v>0.56999999999999995</v>
      </c>
      <c r="N1383" s="27" t="s">
        <v>33</v>
      </c>
      <c r="O1383" s="27" t="s">
        <v>53</v>
      </c>
      <c r="P1383" s="27" t="s">
        <v>187</v>
      </c>
      <c r="Q1383" s="27" t="s">
        <v>1504</v>
      </c>
      <c r="R1383" s="33">
        <v>79701</v>
      </c>
      <c r="S1383" s="34">
        <v>42130</v>
      </c>
      <c r="T1383" s="34">
        <v>42131</v>
      </c>
      <c r="U1383" s="29">
        <v>12.146000000000001</v>
      </c>
      <c r="V1383" s="26">
        <v>23</v>
      </c>
      <c r="W1383" s="29">
        <v>377</v>
      </c>
      <c r="X1383" s="26">
        <v>90888</v>
      </c>
      <c r="Y1383" s="35">
        <v>9.07</v>
      </c>
      <c r="Z1383" s="1" t="s">
        <v>3012</v>
      </c>
      <c r="AA1383" s="36">
        <v>3.5213000000000001</v>
      </c>
      <c r="AB1383" s="54">
        <v>162.11000000000001</v>
      </c>
      <c r="AC1383" s="54">
        <v>9.3430434782608689</v>
      </c>
      <c r="AD1383" s="36">
        <v>352.55270000000002</v>
      </c>
    </row>
    <row r="1384" spans="1:30" s="37" customFormat="1" ht="15.75" customHeight="1" x14ac:dyDescent="0.2">
      <c r="A1384" s="26">
        <v>2420</v>
      </c>
      <c r="B1384" s="27" t="s">
        <v>2431</v>
      </c>
      <c r="C1384" s="27" t="s">
        <v>38</v>
      </c>
      <c r="D1384" s="28">
        <v>0.04</v>
      </c>
      <c r="E1384" s="29">
        <v>9.11</v>
      </c>
      <c r="F1384" s="29">
        <v>2.15</v>
      </c>
      <c r="G1384" s="30" t="s">
        <v>39</v>
      </c>
      <c r="H1384" s="27" t="s">
        <v>40</v>
      </c>
      <c r="I1384" s="27" t="s">
        <v>49</v>
      </c>
      <c r="J1384" s="27" t="s">
        <v>88</v>
      </c>
      <c r="K1384" s="27" t="s">
        <v>51</v>
      </c>
      <c r="L1384" s="31" t="s">
        <v>89</v>
      </c>
      <c r="M1384" s="32">
        <v>0.4</v>
      </c>
      <c r="N1384" s="27" t="s">
        <v>33</v>
      </c>
      <c r="O1384" s="27" t="s">
        <v>34</v>
      </c>
      <c r="P1384" s="27" t="s">
        <v>242</v>
      </c>
      <c r="Q1384" s="27" t="s">
        <v>2432</v>
      </c>
      <c r="R1384" s="33">
        <v>23223</v>
      </c>
      <c r="S1384" s="34">
        <v>42130</v>
      </c>
      <c r="T1384" s="34">
        <v>42130</v>
      </c>
      <c r="U1384" s="29">
        <v>-23.071999999999999</v>
      </c>
      <c r="V1384" s="26">
        <v>11</v>
      </c>
      <c r="W1384" s="29">
        <v>100.87</v>
      </c>
      <c r="X1384" s="26">
        <v>86752</v>
      </c>
      <c r="Y1384" s="35">
        <v>15.3</v>
      </c>
      <c r="Z1384" s="1" t="s">
        <v>3011</v>
      </c>
      <c r="AA1384" s="36">
        <v>4.0084</v>
      </c>
      <c r="AB1384" s="54">
        <v>60.521999999999998</v>
      </c>
      <c r="AC1384" s="54">
        <v>3.6680000000000001</v>
      </c>
      <c r="AD1384" s="36">
        <v>117.78360000000001</v>
      </c>
    </row>
    <row r="1385" spans="1:30" s="37" customFormat="1" ht="15.75" customHeight="1" x14ac:dyDescent="0.2">
      <c r="A1385" s="26">
        <v>1986</v>
      </c>
      <c r="B1385" s="27" t="s">
        <v>2433</v>
      </c>
      <c r="C1385" s="27" t="s">
        <v>3094</v>
      </c>
      <c r="D1385" s="28">
        <v>0.05</v>
      </c>
      <c r="E1385" s="29">
        <v>7.99</v>
      </c>
      <c r="F1385" s="29">
        <v>5.03</v>
      </c>
      <c r="G1385" s="30" t="s">
        <v>87</v>
      </c>
      <c r="H1385" s="27" t="s">
        <v>71</v>
      </c>
      <c r="I1385" s="27" t="s">
        <v>41</v>
      </c>
      <c r="J1385" s="27" t="s">
        <v>135</v>
      </c>
      <c r="K1385" s="27" t="s">
        <v>144</v>
      </c>
      <c r="L1385" s="31" t="s">
        <v>465</v>
      </c>
      <c r="M1385" s="32">
        <v>0.6</v>
      </c>
      <c r="N1385" s="27" t="s">
        <v>33</v>
      </c>
      <c r="O1385" s="27" t="s">
        <v>53</v>
      </c>
      <c r="P1385" s="27" t="s">
        <v>187</v>
      </c>
      <c r="Q1385" s="27" t="s">
        <v>1504</v>
      </c>
      <c r="R1385" s="33">
        <v>79701</v>
      </c>
      <c r="S1385" s="34">
        <v>42130</v>
      </c>
      <c r="T1385" s="34">
        <v>42132</v>
      </c>
      <c r="U1385" s="29">
        <v>5.6870000000000003</v>
      </c>
      <c r="V1385" s="26">
        <v>4</v>
      </c>
      <c r="W1385" s="29">
        <v>42.99</v>
      </c>
      <c r="X1385" s="26">
        <v>90888</v>
      </c>
      <c r="Y1385" s="35">
        <v>7.94</v>
      </c>
      <c r="Z1385" s="1" t="s">
        <v>3012</v>
      </c>
      <c r="AA1385" s="36">
        <v>1.5980000000000001</v>
      </c>
      <c r="AB1385" s="54">
        <v>17.196000000000002</v>
      </c>
      <c r="AC1385" s="54">
        <v>6.4485000000000001</v>
      </c>
      <c r="AD1385" s="36">
        <v>30.675000000000001</v>
      </c>
    </row>
    <row r="1386" spans="1:30" s="37" customFormat="1" ht="15.75" customHeight="1" x14ac:dyDescent="0.2">
      <c r="A1386" s="26">
        <v>3079</v>
      </c>
      <c r="B1386" s="27" t="s">
        <v>319</v>
      </c>
      <c r="C1386" s="27" t="s">
        <v>116</v>
      </c>
      <c r="D1386" s="28">
        <v>7.0000000000000007E-2</v>
      </c>
      <c r="E1386" s="29">
        <v>300.97000000000003</v>
      </c>
      <c r="F1386" s="29">
        <v>7.18</v>
      </c>
      <c r="G1386" s="30" t="s">
        <v>39</v>
      </c>
      <c r="H1386" s="27" t="s">
        <v>3095</v>
      </c>
      <c r="I1386" s="27" t="s">
        <v>41</v>
      </c>
      <c r="J1386" s="27" t="s">
        <v>42</v>
      </c>
      <c r="K1386" s="27" t="s">
        <v>73</v>
      </c>
      <c r="L1386" s="31" t="s">
        <v>2209</v>
      </c>
      <c r="M1386" s="32">
        <v>0.48</v>
      </c>
      <c r="N1386" s="27" t="s">
        <v>33</v>
      </c>
      <c r="O1386" s="27" t="s">
        <v>111</v>
      </c>
      <c r="P1386" s="27" t="s">
        <v>320</v>
      </c>
      <c r="Q1386" s="27" t="s">
        <v>321</v>
      </c>
      <c r="R1386" s="33">
        <v>19112</v>
      </c>
      <c r="S1386" s="34">
        <v>42131</v>
      </c>
      <c r="T1386" s="34">
        <v>42133</v>
      </c>
      <c r="U1386" s="29">
        <v>-807.59</v>
      </c>
      <c r="V1386" s="26">
        <v>7</v>
      </c>
      <c r="W1386" s="29">
        <v>2037.69</v>
      </c>
      <c r="X1386" s="26">
        <v>41253</v>
      </c>
      <c r="Y1386" s="35">
        <v>73.960000000000008</v>
      </c>
      <c r="Z1386" s="1" t="s">
        <v>3014</v>
      </c>
      <c r="AA1386" s="36">
        <v>147.47530000000003</v>
      </c>
      <c r="AB1386" s="54">
        <v>1059.5988</v>
      </c>
      <c r="AC1386" s="54">
        <v>139.7273142857143</v>
      </c>
      <c r="AD1386" s="36">
        <v>2690.6247000000003</v>
      </c>
    </row>
    <row r="1387" spans="1:30" s="37" customFormat="1" ht="15.75" customHeight="1" x14ac:dyDescent="0.2">
      <c r="A1387" s="26">
        <v>3077</v>
      </c>
      <c r="B1387" s="27" t="s">
        <v>2447</v>
      </c>
      <c r="C1387" s="27" t="s">
        <v>116</v>
      </c>
      <c r="D1387" s="28">
        <v>7.0000000000000007E-2</v>
      </c>
      <c r="E1387" s="29">
        <v>300.97000000000003</v>
      </c>
      <c r="F1387" s="29">
        <v>7.18</v>
      </c>
      <c r="G1387" s="30" t="s">
        <v>39</v>
      </c>
      <c r="H1387" s="27" t="s">
        <v>3095</v>
      </c>
      <c r="I1387" s="27" t="s">
        <v>41</v>
      </c>
      <c r="J1387" s="27" t="s">
        <v>42</v>
      </c>
      <c r="K1387" s="27" t="s">
        <v>73</v>
      </c>
      <c r="L1387" s="31" t="s">
        <v>2209</v>
      </c>
      <c r="M1387" s="32">
        <v>0.48</v>
      </c>
      <c r="N1387" s="27" t="s">
        <v>33</v>
      </c>
      <c r="O1387" s="27" t="s">
        <v>111</v>
      </c>
      <c r="P1387" s="27" t="s">
        <v>317</v>
      </c>
      <c r="Q1387" s="27" t="s">
        <v>2448</v>
      </c>
      <c r="R1387" s="33">
        <v>44136</v>
      </c>
      <c r="S1387" s="34">
        <v>42131</v>
      </c>
      <c r="T1387" s="34">
        <v>42133</v>
      </c>
      <c r="U1387" s="29">
        <v>-807.59</v>
      </c>
      <c r="V1387" s="26">
        <v>2</v>
      </c>
      <c r="W1387" s="29">
        <v>582.20000000000005</v>
      </c>
      <c r="X1387" s="26">
        <v>88239</v>
      </c>
      <c r="Y1387" s="35">
        <v>3.61</v>
      </c>
      <c r="Z1387" s="1" t="s">
        <v>3014</v>
      </c>
      <c r="AA1387" s="36">
        <v>42.13580000000001</v>
      </c>
      <c r="AB1387" s="54">
        <v>302.74400000000003</v>
      </c>
      <c r="AC1387" s="54">
        <v>139.72800000000001</v>
      </c>
      <c r="AD1387" s="36">
        <v>1340.4742000000001</v>
      </c>
    </row>
    <row r="1388" spans="1:30" s="37" customFormat="1" ht="15.75" customHeight="1" x14ac:dyDescent="0.2">
      <c r="A1388" s="26">
        <v>1261</v>
      </c>
      <c r="B1388" s="27" t="s">
        <v>2435</v>
      </c>
      <c r="C1388" s="27" t="s">
        <v>26</v>
      </c>
      <c r="D1388" s="28">
        <v>0.02</v>
      </c>
      <c r="E1388" s="29">
        <v>73.98</v>
      </c>
      <c r="F1388" s="29">
        <v>14.52</v>
      </c>
      <c r="G1388" s="30" t="s">
        <v>39</v>
      </c>
      <c r="H1388" s="27" t="s">
        <v>71</v>
      </c>
      <c r="I1388" s="27" t="s">
        <v>41</v>
      </c>
      <c r="J1388" s="27" t="s">
        <v>42</v>
      </c>
      <c r="K1388" s="27" t="s">
        <v>73</v>
      </c>
      <c r="L1388" s="31" t="s">
        <v>308</v>
      </c>
      <c r="M1388" s="32">
        <v>0.65</v>
      </c>
      <c r="N1388" s="27" t="s">
        <v>33</v>
      </c>
      <c r="O1388" s="27" t="s">
        <v>60</v>
      </c>
      <c r="P1388" s="27" t="s">
        <v>61</v>
      </c>
      <c r="Q1388" s="27" t="s">
        <v>2436</v>
      </c>
      <c r="R1388" s="33">
        <v>80020</v>
      </c>
      <c r="S1388" s="34">
        <v>42131</v>
      </c>
      <c r="T1388" s="34">
        <v>42134</v>
      </c>
      <c r="U1388" s="29">
        <v>43.537999999999997</v>
      </c>
      <c r="V1388" s="26">
        <v>5</v>
      </c>
      <c r="W1388" s="29">
        <v>378.23</v>
      </c>
      <c r="X1388" s="26">
        <v>89730</v>
      </c>
      <c r="Y1388" s="35">
        <v>35.940000000000005</v>
      </c>
      <c r="Z1388" s="1" t="s">
        <v>3013</v>
      </c>
      <c r="AA1388" s="36">
        <v>7.3979999999999997</v>
      </c>
      <c r="AB1388" s="54">
        <v>132.38050000000001</v>
      </c>
      <c r="AC1388" s="54">
        <v>49.169900000000005</v>
      </c>
      <c r="AD1388" s="36">
        <v>312.774</v>
      </c>
    </row>
    <row r="1389" spans="1:30" s="37" customFormat="1" ht="15.75" customHeight="1" x14ac:dyDescent="0.2">
      <c r="A1389" s="26">
        <v>1725</v>
      </c>
      <c r="B1389" s="27" t="s">
        <v>2439</v>
      </c>
      <c r="C1389" s="27" t="s">
        <v>38</v>
      </c>
      <c r="D1389" s="28">
        <v>0.05</v>
      </c>
      <c r="E1389" s="29">
        <v>35.99</v>
      </c>
      <c r="F1389" s="29">
        <v>1.1000000000000001</v>
      </c>
      <c r="G1389" s="30" t="s">
        <v>39</v>
      </c>
      <c r="H1389" s="27" t="s">
        <v>94</v>
      </c>
      <c r="I1389" s="27" t="s">
        <v>41</v>
      </c>
      <c r="J1389" s="27" t="s">
        <v>135</v>
      </c>
      <c r="K1389" s="27" t="s">
        <v>73</v>
      </c>
      <c r="L1389" s="31" t="s">
        <v>274</v>
      </c>
      <c r="M1389" s="32">
        <v>0.55000000000000004</v>
      </c>
      <c r="N1389" s="27" t="s">
        <v>33</v>
      </c>
      <c r="O1389" s="27" t="s">
        <v>111</v>
      </c>
      <c r="P1389" s="27" t="s">
        <v>317</v>
      </c>
      <c r="Q1389" s="27" t="s">
        <v>2440</v>
      </c>
      <c r="R1389" s="33">
        <v>43026</v>
      </c>
      <c r="S1389" s="34">
        <v>42131</v>
      </c>
      <c r="T1389" s="34">
        <v>42133</v>
      </c>
      <c r="U1389" s="29">
        <v>149.166</v>
      </c>
      <c r="V1389" s="26">
        <v>9</v>
      </c>
      <c r="W1389" s="29">
        <v>261.56</v>
      </c>
      <c r="X1389" s="26">
        <v>87193</v>
      </c>
      <c r="Y1389" s="35">
        <v>4.6899999999999995</v>
      </c>
      <c r="Z1389" s="1" t="s">
        <v>3014</v>
      </c>
      <c r="AA1389" s="36">
        <v>16.195500000000003</v>
      </c>
      <c r="AB1389" s="54">
        <v>117.70199999999998</v>
      </c>
      <c r="AC1389" s="54">
        <v>15.984222222222224</v>
      </c>
      <c r="AD1389" s="36">
        <v>95.098500000000001</v>
      </c>
    </row>
    <row r="1390" spans="1:30" s="37" customFormat="1" ht="15.75" customHeight="1" x14ac:dyDescent="0.2">
      <c r="A1390" s="26">
        <v>1502</v>
      </c>
      <c r="B1390" s="27" t="s">
        <v>2437</v>
      </c>
      <c r="C1390" s="27" t="s">
        <v>26</v>
      </c>
      <c r="D1390" s="28">
        <v>0.08</v>
      </c>
      <c r="E1390" s="29">
        <v>3.69</v>
      </c>
      <c r="F1390" s="29">
        <v>0.5</v>
      </c>
      <c r="G1390" s="30" t="s">
        <v>39</v>
      </c>
      <c r="H1390" s="27" t="s">
        <v>3095</v>
      </c>
      <c r="I1390" s="27" t="s">
        <v>49</v>
      </c>
      <c r="J1390" s="27" t="s">
        <v>152</v>
      </c>
      <c r="K1390" s="27" t="s">
        <v>73</v>
      </c>
      <c r="L1390" s="31" t="s">
        <v>1894</v>
      </c>
      <c r="M1390" s="32">
        <v>0.38</v>
      </c>
      <c r="N1390" s="27" t="s">
        <v>33</v>
      </c>
      <c r="O1390" s="27" t="s">
        <v>34</v>
      </c>
      <c r="P1390" s="27" t="s">
        <v>123</v>
      </c>
      <c r="Q1390" s="27" t="s">
        <v>2438</v>
      </c>
      <c r="R1390" s="33">
        <v>33065</v>
      </c>
      <c r="S1390" s="34">
        <v>42131</v>
      </c>
      <c r="T1390" s="34">
        <v>42134</v>
      </c>
      <c r="U1390" s="29">
        <v>-3.6547000000000001</v>
      </c>
      <c r="V1390" s="26">
        <v>38</v>
      </c>
      <c r="W1390" s="29">
        <v>129.43</v>
      </c>
      <c r="X1390" s="26">
        <v>89193</v>
      </c>
      <c r="Y1390" s="35">
        <v>2.71</v>
      </c>
      <c r="Z1390" s="1" t="s">
        <v>3011</v>
      </c>
      <c r="AA1390" s="36">
        <v>11.217600000000001</v>
      </c>
      <c r="AB1390" s="54">
        <v>80.246600000000001</v>
      </c>
      <c r="AC1390" s="54">
        <v>1.2943000000000002</v>
      </c>
      <c r="AD1390" s="36">
        <v>121.36710000000001</v>
      </c>
    </row>
    <row r="1391" spans="1:30" s="37" customFormat="1" ht="15.75" customHeight="1" x14ac:dyDescent="0.2">
      <c r="A1391" s="26">
        <v>1997</v>
      </c>
      <c r="B1391" s="27" t="s">
        <v>774</v>
      </c>
      <c r="C1391" s="27" t="s">
        <v>116</v>
      </c>
      <c r="D1391" s="28">
        <v>0.01</v>
      </c>
      <c r="E1391" s="29">
        <v>16.48</v>
      </c>
      <c r="F1391" s="29">
        <v>1.99</v>
      </c>
      <c r="G1391" s="30" t="s">
        <v>39</v>
      </c>
      <c r="H1391" s="27" t="s">
        <v>40</v>
      </c>
      <c r="I1391" s="27" t="s">
        <v>41</v>
      </c>
      <c r="J1391" s="27" t="s">
        <v>42</v>
      </c>
      <c r="K1391" s="27" t="s">
        <v>43</v>
      </c>
      <c r="L1391" s="31" t="s">
        <v>601</v>
      </c>
      <c r="M1391" s="32">
        <v>0.42</v>
      </c>
      <c r="N1391" s="27" t="s">
        <v>33</v>
      </c>
      <c r="O1391" s="27" t="s">
        <v>34</v>
      </c>
      <c r="P1391" s="27" t="s">
        <v>271</v>
      </c>
      <c r="Q1391" s="27" t="s">
        <v>272</v>
      </c>
      <c r="R1391" s="33">
        <v>29915</v>
      </c>
      <c r="S1391" s="34">
        <v>42131</v>
      </c>
      <c r="T1391" s="34">
        <v>42132</v>
      </c>
      <c r="U1391" s="29">
        <v>739.67399999999998</v>
      </c>
      <c r="V1391" s="26">
        <v>7</v>
      </c>
      <c r="W1391" s="29">
        <v>122.93</v>
      </c>
      <c r="X1391" s="26">
        <v>90334</v>
      </c>
      <c r="Y1391" s="35">
        <v>6.4</v>
      </c>
      <c r="Z1391" s="1" t="s">
        <v>3011</v>
      </c>
      <c r="AA1391" s="36">
        <v>1.1536</v>
      </c>
      <c r="AB1391" s="54">
        <v>71.299400000000006</v>
      </c>
      <c r="AC1391" s="54">
        <v>7.3757999999999999</v>
      </c>
      <c r="AD1391" s="36">
        <v>-619.88760000000002</v>
      </c>
    </row>
    <row r="1392" spans="1:30" s="37" customFormat="1" ht="15.75" customHeight="1" x14ac:dyDescent="0.2">
      <c r="A1392" s="26">
        <v>2962</v>
      </c>
      <c r="B1392" s="27" t="s">
        <v>2441</v>
      </c>
      <c r="C1392" s="27" t="s">
        <v>38</v>
      </c>
      <c r="D1392" s="28">
        <v>7.0000000000000007E-2</v>
      </c>
      <c r="E1392" s="29">
        <v>4.76</v>
      </c>
      <c r="F1392" s="29">
        <v>0.88</v>
      </c>
      <c r="G1392" s="30" t="s">
        <v>87</v>
      </c>
      <c r="H1392" s="27" t="s">
        <v>40</v>
      </c>
      <c r="I1392" s="27" t="s">
        <v>49</v>
      </c>
      <c r="J1392" s="27" t="s">
        <v>88</v>
      </c>
      <c r="K1392" s="27" t="s">
        <v>51</v>
      </c>
      <c r="L1392" s="31" t="s">
        <v>2442</v>
      </c>
      <c r="M1392" s="32">
        <v>0.39</v>
      </c>
      <c r="N1392" s="27" t="s">
        <v>33</v>
      </c>
      <c r="O1392" s="27" t="s">
        <v>60</v>
      </c>
      <c r="P1392" s="27" t="s">
        <v>61</v>
      </c>
      <c r="Q1392" s="27" t="s">
        <v>1313</v>
      </c>
      <c r="R1392" s="33">
        <v>80027</v>
      </c>
      <c r="S1392" s="34">
        <v>42131</v>
      </c>
      <c r="T1392" s="34">
        <v>42133</v>
      </c>
      <c r="U1392" s="29">
        <v>33.347700000000003</v>
      </c>
      <c r="V1392" s="26">
        <v>10</v>
      </c>
      <c r="W1392" s="29">
        <v>48.33</v>
      </c>
      <c r="X1392" s="26">
        <v>88611</v>
      </c>
      <c r="Y1392" s="35">
        <v>16.47</v>
      </c>
      <c r="Z1392" s="1" t="s">
        <v>3013</v>
      </c>
      <c r="AA1392" s="36">
        <v>3.3319999999999999</v>
      </c>
      <c r="AB1392" s="54">
        <v>29.481299999999997</v>
      </c>
      <c r="AC1392" s="54">
        <v>1.88487</v>
      </c>
      <c r="AD1392" s="36">
        <v>10.770299999999992</v>
      </c>
    </row>
    <row r="1393" spans="1:30" s="37" customFormat="1" ht="15.75" customHeight="1" x14ac:dyDescent="0.2">
      <c r="A1393" s="26">
        <v>3248</v>
      </c>
      <c r="B1393" s="27" t="s">
        <v>2443</v>
      </c>
      <c r="C1393" s="27" t="s">
        <v>38</v>
      </c>
      <c r="D1393" s="28">
        <v>7.0000000000000007E-2</v>
      </c>
      <c r="E1393" s="29">
        <v>2.78</v>
      </c>
      <c r="F1393" s="29">
        <v>1.49</v>
      </c>
      <c r="G1393" s="30" t="s">
        <v>39</v>
      </c>
      <c r="H1393" s="27" t="s">
        <v>3095</v>
      </c>
      <c r="I1393" s="27" t="s">
        <v>49</v>
      </c>
      <c r="J1393" s="27" t="s">
        <v>72</v>
      </c>
      <c r="K1393" s="27" t="s">
        <v>73</v>
      </c>
      <c r="L1393" s="31" t="s">
        <v>2184</v>
      </c>
      <c r="M1393" s="32">
        <v>0.36</v>
      </c>
      <c r="N1393" s="27" t="s">
        <v>33</v>
      </c>
      <c r="O1393" s="27" t="s">
        <v>34</v>
      </c>
      <c r="P1393" s="27" t="s">
        <v>168</v>
      </c>
      <c r="Q1393" s="27" t="s">
        <v>2444</v>
      </c>
      <c r="R1393" s="33">
        <v>70458</v>
      </c>
      <c r="S1393" s="34">
        <v>42131</v>
      </c>
      <c r="T1393" s="34">
        <v>42132</v>
      </c>
      <c r="U1393" s="29">
        <v>-340.53109999999998</v>
      </c>
      <c r="V1393" s="26">
        <v>17</v>
      </c>
      <c r="W1393" s="29">
        <v>47.12</v>
      </c>
      <c r="X1393" s="26">
        <v>87297</v>
      </c>
      <c r="Y1393" s="35">
        <v>300.90000000000003</v>
      </c>
      <c r="Z1393" s="1" t="s">
        <v>3011</v>
      </c>
      <c r="AA1393" s="36">
        <v>3.3081999999999998</v>
      </c>
      <c r="AB1393" s="54">
        <v>30.1568</v>
      </c>
      <c r="AC1393" s="54">
        <v>0.99783529411764693</v>
      </c>
      <c r="AD1393" s="36">
        <v>382.85289999999998</v>
      </c>
    </row>
    <row r="1394" spans="1:30" s="37" customFormat="1" ht="15.75" customHeight="1" x14ac:dyDescent="0.2">
      <c r="A1394" s="26">
        <v>3338</v>
      </c>
      <c r="B1394" s="27" t="s">
        <v>2445</v>
      </c>
      <c r="C1394" s="27" t="s">
        <v>38</v>
      </c>
      <c r="D1394" s="28">
        <v>0.08</v>
      </c>
      <c r="E1394" s="29">
        <v>6.48</v>
      </c>
      <c r="F1394" s="29">
        <v>8.4</v>
      </c>
      <c r="G1394" s="30" t="s">
        <v>39</v>
      </c>
      <c r="H1394" s="27" t="s">
        <v>40</v>
      </c>
      <c r="I1394" s="27" t="s">
        <v>49</v>
      </c>
      <c r="J1394" s="27" t="s">
        <v>88</v>
      </c>
      <c r="K1394" s="27" t="s">
        <v>73</v>
      </c>
      <c r="L1394" s="31" t="s">
        <v>1943</v>
      </c>
      <c r="M1394" s="32">
        <v>0.37</v>
      </c>
      <c r="N1394" s="27" t="s">
        <v>33</v>
      </c>
      <c r="O1394" s="27" t="s">
        <v>34</v>
      </c>
      <c r="P1394" s="27" t="s">
        <v>123</v>
      </c>
      <c r="Q1394" s="27" t="s">
        <v>2446</v>
      </c>
      <c r="R1394" s="33">
        <v>33614</v>
      </c>
      <c r="S1394" s="34">
        <v>42131</v>
      </c>
      <c r="T1394" s="34">
        <v>42131</v>
      </c>
      <c r="U1394" s="29">
        <v>58.811999999999998</v>
      </c>
      <c r="V1394" s="26">
        <v>7</v>
      </c>
      <c r="W1394" s="29">
        <v>45</v>
      </c>
      <c r="X1394" s="26">
        <v>85979</v>
      </c>
      <c r="Y1394" s="35">
        <v>300.90000000000003</v>
      </c>
      <c r="Z1394" s="1" t="s">
        <v>3011</v>
      </c>
      <c r="AA1394" s="36">
        <v>3.6288000000000005</v>
      </c>
      <c r="AB1394" s="54">
        <v>28.35</v>
      </c>
      <c r="AC1394" s="54">
        <v>2.3785714285714286</v>
      </c>
      <c r="AD1394" s="36">
        <v>-25.840800000000002</v>
      </c>
    </row>
    <row r="1395" spans="1:30" s="37" customFormat="1" ht="15.75" customHeight="1" x14ac:dyDescent="0.2">
      <c r="A1395" s="26">
        <v>2880</v>
      </c>
      <c r="B1395" s="27" t="s">
        <v>1903</v>
      </c>
      <c r="C1395" s="27" t="s">
        <v>48</v>
      </c>
      <c r="D1395" s="28">
        <v>0.09</v>
      </c>
      <c r="E1395" s="29">
        <v>243.98</v>
      </c>
      <c r="F1395" s="29">
        <v>43.32</v>
      </c>
      <c r="G1395" s="30" t="s">
        <v>27</v>
      </c>
      <c r="H1395" s="27" t="s">
        <v>3095</v>
      </c>
      <c r="I1395" s="27" t="s">
        <v>29</v>
      </c>
      <c r="J1395" s="27" t="s">
        <v>109</v>
      </c>
      <c r="K1395" s="27" t="s">
        <v>58</v>
      </c>
      <c r="L1395" s="31" t="s">
        <v>235</v>
      </c>
      <c r="M1395" s="32">
        <v>0.55000000000000004</v>
      </c>
      <c r="N1395" s="27" t="s">
        <v>33</v>
      </c>
      <c r="O1395" s="27" t="s">
        <v>34</v>
      </c>
      <c r="P1395" s="27" t="s">
        <v>123</v>
      </c>
      <c r="Q1395" s="27" t="s">
        <v>1904</v>
      </c>
      <c r="R1395" s="33">
        <v>33160</v>
      </c>
      <c r="S1395" s="34">
        <v>42132</v>
      </c>
      <c r="T1395" s="34">
        <v>42137</v>
      </c>
      <c r="U1395" s="29">
        <v>1059.288</v>
      </c>
      <c r="V1395" s="26">
        <v>25</v>
      </c>
      <c r="W1395" s="29">
        <v>5587.89</v>
      </c>
      <c r="X1395" s="26">
        <v>88627</v>
      </c>
      <c r="Y1395" s="35">
        <v>16.89</v>
      </c>
      <c r="Z1395" s="1" t="s">
        <v>3011</v>
      </c>
      <c r="AA1395" s="36">
        <v>548.95499999999993</v>
      </c>
      <c r="AB1395" s="54">
        <v>2514.5504999999998</v>
      </c>
      <c r="AC1395" s="54">
        <v>122.93358000000001</v>
      </c>
      <c r="AD1395" s="36">
        <v>3936.3270000000002</v>
      </c>
    </row>
    <row r="1396" spans="1:30" s="37" customFormat="1" ht="15.75" customHeight="1" x14ac:dyDescent="0.2">
      <c r="A1396" s="26">
        <v>1028</v>
      </c>
      <c r="B1396" s="27" t="s">
        <v>1912</v>
      </c>
      <c r="C1396" s="27" t="s">
        <v>3094</v>
      </c>
      <c r="D1396" s="28">
        <v>0.05</v>
      </c>
      <c r="E1396" s="29">
        <v>83.1</v>
      </c>
      <c r="F1396" s="29">
        <v>6.13</v>
      </c>
      <c r="G1396" s="30" t="s">
        <v>87</v>
      </c>
      <c r="H1396" s="27" t="s">
        <v>3095</v>
      </c>
      <c r="I1396" s="27" t="s">
        <v>41</v>
      </c>
      <c r="J1396" s="27" t="s">
        <v>42</v>
      </c>
      <c r="K1396" s="27" t="s">
        <v>73</v>
      </c>
      <c r="L1396" s="31" t="s">
        <v>2462</v>
      </c>
      <c r="M1396" s="32">
        <v>0.45</v>
      </c>
      <c r="N1396" s="27" t="s">
        <v>33</v>
      </c>
      <c r="O1396" s="27" t="s">
        <v>111</v>
      </c>
      <c r="P1396" s="27" t="s">
        <v>112</v>
      </c>
      <c r="Q1396" s="27" t="s">
        <v>1914</v>
      </c>
      <c r="R1396" s="33">
        <v>11725</v>
      </c>
      <c r="S1396" s="34">
        <v>42132</v>
      </c>
      <c r="T1396" s="34">
        <v>42133</v>
      </c>
      <c r="U1396" s="29">
        <v>1152.5277000000001</v>
      </c>
      <c r="V1396" s="26">
        <v>20</v>
      </c>
      <c r="W1396" s="29">
        <v>1670.33</v>
      </c>
      <c r="X1396" s="26">
        <v>89007</v>
      </c>
      <c r="Y1396" s="35">
        <v>16.89</v>
      </c>
      <c r="Z1396" s="1" t="s">
        <v>3014</v>
      </c>
      <c r="AA1396" s="36">
        <v>83.100000000000009</v>
      </c>
      <c r="AB1396" s="54">
        <v>918.68150000000003</v>
      </c>
      <c r="AC1396" s="54">
        <v>37.582425000000001</v>
      </c>
      <c r="AD1396" s="36">
        <v>428.57229999999981</v>
      </c>
    </row>
    <row r="1397" spans="1:30" s="37" customFormat="1" ht="15.75" customHeight="1" x14ac:dyDescent="0.2">
      <c r="A1397" s="26">
        <v>2189</v>
      </c>
      <c r="B1397" s="27" t="s">
        <v>2452</v>
      </c>
      <c r="C1397" s="27" t="s">
        <v>38</v>
      </c>
      <c r="D1397" s="28">
        <v>0.09</v>
      </c>
      <c r="E1397" s="29">
        <v>16.98</v>
      </c>
      <c r="F1397" s="29">
        <v>12.39</v>
      </c>
      <c r="G1397" s="30" t="s">
        <v>39</v>
      </c>
      <c r="H1397" s="27" t="s">
        <v>94</v>
      </c>
      <c r="I1397" s="27" t="s">
        <v>49</v>
      </c>
      <c r="J1397" s="27" t="s">
        <v>345</v>
      </c>
      <c r="K1397" s="27" t="s">
        <v>73</v>
      </c>
      <c r="L1397" s="31" t="s">
        <v>2450</v>
      </c>
      <c r="M1397" s="32">
        <v>0.35</v>
      </c>
      <c r="N1397" s="27" t="s">
        <v>33</v>
      </c>
      <c r="O1397" s="27" t="s">
        <v>111</v>
      </c>
      <c r="P1397" s="27" t="s">
        <v>112</v>
      </c>
      <c r="Q1397" s="27" t="s">
        <v>113</v>
      </c>
      <c r="R1397" s="33">
        <v>10177</v>
      </c>
      <c r="S1397" s="34">
        <v>42132</v>
      </c>
      <c r="T1397" s="34">
        <v>42134</v>
      </c>
      <c r="U1397" s="29">
        <v>-48.57</v>
      </c>
      <c r="V1397" s="26">
        <v>22</v>
      </c>
      <c r="W1397" s="29">
        <v>381.91</v>
      </c>
      <c r="X1397" s="26">
        <v>7364</v>
      </c>
      <c r="Y1397" s="35">
        <v>300.91000000000003</v>
      </c>
      <c r="Z1397" s="1" t="s">
        <v>3014</v>
      </c>
      <c r="AA1397" s="36">
        <v>33.620400000000004</v>
      </c>
      <c r="AB1397" s="54">
        <v>248.24150000000003</v>
      </c>
      <c r="AC1397" s="54">
        <v>6.0758409090909087</v>
      </c>
      <c r="AD1397" s="36">
        <v>384.46960000000001</v>
      </c>
    </row>
    <row r="1398" spans="1:30" s="37" customFormat="1" ht="15.75" customHeight="1" x14ac:dyDescent="0.2">
      <c r="A1398" s="26">
        <v>2063</v>
      </c>
      <c r="B1398" s="27" t="s">
        <v>2453</v>
      </c>
      <c r="C1398" s="27" t="s">
        <v>48</v>
      </c>
      <c r="D1398" s="28">
        <v>0.06</v>
      </c>
      <c r="E1398" s="29">
        <v>300.97000000000003</v>
      </c>
      <c r="F1398" s="29">
        <v>7.18</v>
      </c>
      <c r="G1398" s="30" t="s">
        <v>39</v>
      </c>
      <c r="H1398" s="27" t="s">
        <v>94</v>
      </c>
      <c r="I1398" s="27" t="s">
        <v>41</v>
      </c>
      <c r="J1398" s="27" t="s">
        <v>42</v>
      </c>
      <c r="K1398" s="27" t="s">
        <v>73</v>
      </c>
      <c r="L1398" s="31" t="s">
        <v>2209</v>
      </c>
      <c r="M1398" s="32">
        <v>0.48</v>
      </c>
      <c r="N1398" s="27" t="s">
        <v>33</v>
      </c>
      <c r="O1398" s="27" t="s">
        <v>34</v>
      </c>
      <c r="P1398" s="27" t="s">
        <v>242</v>
      </c>
      <c r="Q1398" s="27" t="s">
        <v>2454</v>
      </c>
      <c r="R1398" s="33">
        <v>23602</v>
      </c>
      <c r="S1398" s="34">
        <v>42132</v>
      </c>
      <c r="T1398" s="34">
        <v>42132</v>
      </c>
      <c r="U1398" s="29">
        <v>-729.98800000000006</v>
      </c>
      <c r="V1398" s="26">
        <v>1</v>
      </c>
      <c r="W1398" s="29">
        <v>291.39999999999998</v>
      </c>
      <c r="X1398" s="26">
        <v>87147</v>
      </c>
      <c r="Y1398" s="35">
        <v>243.89</v>
      </c>
      <c r="Z1398" s="1" t="s">
        <v>3011</v>
      </c>
      <c r="AA1398" s="36">
        <v>18.058199999999999</v>
      </c>
      <c r="AB1398" s="54">
        <v>151.52799999999999</v>
      </c>
      <c r="AC1398" s="54">
        <v>139.87199999999999</v>
      </c>
      <c r="AD1398" s="36">
        <v>996.14980000000003</v>
      </c>
    </row>
    <row r="1399" spans="1:30" s="37" customFormat="1" ht="15.75" customHeight="1" x14ac:dyDescent="0.2">
      <c r="A1399" s="26">
        <v>2992</v>
      </c>
      <c r="B1399" s="27" t="s">
        <v>2457</v>
      </c>
      <c r="C1399" s="27" t="s">
        <v>48</v>
      </c>
      <c r="D1399" s="28">
        <v>0</v>
      </c>
      <c r="E1399" s="29">
        <v>5.28</v>
      </c>
      <c r="F1399" s="29">
        <v>6.26</v>
      </c>
      <c r="G1399" s="30" t="s">
        <v>39</v>
      </c>
      <c r="H1399" s="27" t="s">
        <v>71</v>
      </c>
      <c r="I1399" s="27" t="s">
        <v>49</v>
      </c>
      <c r="J1399" s="27" t="s">
        <v>88</v>
      </c>
      <c r="K1399" s="27" t="s">
        <v>73</v>
      </c>
      <c r="L1399" s="31" t="s">
        <v>2458</v>
      </c>
      <c r="M1399" s="32">
        <v>0.4</v>
      </c>
      <c r="N1399" s="27" t="s">
        <v>33</v>
      </c>
      <c r="O1399" s="27" t="s">
        <v>53</v>
      </c>
      <c r="P1399" s="27" t="s">
        <v>357</v>
      </c>
      <c r="Q1399" s="27" t="s">
        <v>2459</v>
      </c>
      <c r="R1399" s="33">
        <v>53081</v>
      </c>
      <c r="S1399" s="34">
        <v>42132</v>
      </c>
      <c r="T1399" s="34">
        <v>42139</v>
      </c>
      <c r="U1399" s="29">
        <v>25.058</v>
      </c>
      <c r="V1399" s="26">
        <v>36</v>
      </c>
      <c r="W1399" s="29">
        <v>203.05</v>
      </c>
      <c r="X1399" s="26">
        <v>91466</v>
      </c>
      <c r="Y1399" s="35">
        <v>70.92</v>
      </c>
      <c r="Z1399" s="1" t="s">
        <v>3012</v>
      </c>
      <c r="AA1399" s="36">
        <v>0</v>
      </c>
      <c r="AB1399" s="54">
        <v>121.83</v>
      </c>
      <c r="AC1399" s="54">
        <v>2.2561111111111116</v>
      </c>
      <c r="AD1399" s="36">
        <v>171.73200000000003</v>
      </c>
    </row>
    <row r="1400" spans="1:30" s="37" customFormat="1" ht="15.75" customHeight="1" x14ac:dyDescent="0.2">
      <c r="A1400" s="26">
        <v>1080</v>
      </c>
      <c r="B1400" s="27" t="s">
        <v>2463</v>
      </c>
      <c r="C1400" s="27" t="s">
        <v>3094</v>
      </c>
      <c r="D1400" s="28">
        <v>0.08</v>
      </c>
      <c r="E1400" s="29">
        <v>13.9</v>
      </c>
      <c r="F1400" s="29">
        <v>7.59</v>
      </c>
      <c r="G1400" s="30" t="s">
        <v>39</v>
      </c>
      <c r="H1400" s="27" t="s">
        <v>94</v>
      </c>
      <c r="I1400" s="27" t="s">
        <v>49</v>
      </c>
      <c r="J1400" s="27" t="s">
        <v>568</v>
      </c>
      <c r="K1400" s="27" t="s">
        <v>43</v>
      </c>
      <c r="L1400" s="31" t="s">
        <v>2464</v>
      </c>
      <c r="M1400" s="32">
        <v>0.56000000000000005</v>
      </c>
      <c r="N1400" s="27" t="s">
        <v>33</v>
      </c>
      <c r="O1400" s="27" t="s">
        <v>53</v>
      </c>
      <c r="P1400" s="27" t="s">
        <v>103</v>
      </c>
      <c r="Q1400" s="27" t="s">
        <v>2465</v>
      </c>
      <c r="R1400" s="33">
        <v>60174</v>
      </c>
      <c r="S1400" s="34">
        <v>42132</v>
      </c>
      <c r="T1400" s="34">
        <v>42133</v>
      </c>
      <c r="U1400" s="29">
        <v>9.8620000000000001</v>
      </c>
      <c r="V1400" s="26">
        <v>14</v>
      </c>
      <c r="W1400" s="29">
        <v>196.41</v>
      </c>
      <c r="X1400" s="26">
        <v>88461</v>
      </c>
      <c r="Y1400" s="35">
        <v>5.28</v>
      </c>
      <c r="Z1400" s="1" t="s">
        <v>3012</v>
      </c>
      <c r="AA1400" s="36">
        <v>15.568000000000001</v>
      </c>
      <c r="AB1400" s="54">
        <v>86.420399999999987</v>
      </c>
      <c r="AC1400" s="54">
        <v>7.8564000000000007</v>
      </c>
      <c r="AD1400" s="36">
        <v>163.38999999999999</v>
      </c>
    </row>
    <row r="1401" spans="1:30" s="37" customFormat="1" ht="15.75" customHeight="1" x14ac:dyDescent="0.2">
      <c r="A1401" s="26">
        <v>2991</v>
      </c>
      <c r="B1401" s="27" t="s">
        <v>2455</v>
      </c>
      <c r="C1401" s="27" t="s">
        <v>48</v>
      </c>
      <c r="D1401" s="28">
        <v>0.05</v>
      </c>
      <c r="E1401" s="29">
        <v>70.97</v>
      </c>
      <c r="F1401" s="29">
        <v>3.5</v>
      </c>
      <c r="G1401" s="30" t="s">
        <v>39</v>
      </c>
      <c r="H1401" s="27" t="s">
        <v>71</v>
      </c>
      <c r="I1401" s="27" t="s">
        <v>49</v>
      </c>
      <c r="J1401" s="27" t="s">
        <v>95</v>
      </c>
      <c r="K1401" s="27" t="s">
        <v>73</v>
      </c>
      <c r="L1401" s="31" t="s">
        <v>2177</v>
      </c>
      <c r="M1401" s="32">
        <v>0.59</v>
      </c>
      <c r="N1401" s="27" t="s">
        <v>33</v>
      </c>
      <c r="O1401" s="27" t="s">
        <v>53</v>
      </c>
      <c r="P1401" s="27" t="s">
        <v>357</v>
      </c>
      <c r="Q1401" s="27" t="s">
        <v>2456</v>
      </c>
      <c r="R1401" s="33">
        <v>53402</v>
      </c>
      <c r="S1401" s="34">
        <v>42132</v>
      </c>
      <c r="T1401" s="34">
        <v>42137</v>
      </c>
      <c r="U1401" s="29">
        <v>18.218</v>
      </c>
      <c r="V1401" s="26">
        <v>2</v>
      </c>
      <c r="W1401" s="29">
        <v>141.59</v>
      </c>
      <c r="X1401" s="26">
        <v>91466</v>
      </c>
      <c r="Y1401" s="35">
        <v>29.31</v>
      </c>
      <c r="Z1401" s="1" t="s">
        <v>3012</v>
      </c>
      <c r="AA1401" s="36">
        <v>7.0970000000000004</v>
      </c>
      <c r="AB1401" s="54">
        <v>58.051900000000003</v>
      </c>
      <c r="AC1401" s="54">
        <v>41.76905</v>
      </c>
      <c r="AD1401" s="36">
        <v>112.77500000000001</v>
      </c>
    </row>
    <row r="1402" spans="1:30" s="37" customFormat="1" ht="15.75" customHeight="1" x14ac:dyDescent="0.2">
      <c r="A1402" s="26">
        <v>2187</v>
      </c>
      <c r="B1402" s="27" t="s">
        <v>2449</v>
      </c>
      <c r="C1402" s="27" t="s">
        <v>38</v>
      </c>
      <c r="D1402" s="28">
        <v>0.09</v>
      </c>
      <c r="E1402" s="29">
        <v>16.98</v>
      </c>
      <c r="F1402" s="29">
        <v>12.39</v>
      </c>
      <c r="G1402" s="30" t="s">
        <v>39</v>
      </c>
      <c r="H1402" s="27" t="s">
        <v>94</v>
      </c>
      <c r="I1402" s="27" t="s">
        <v>49</v>
      </c>
      <c r="J1402" s="27" t="s">
        <v>345</v>
      </c>
      <c r="K1402" s="27" t="s">
        <v>73</v>
      </c>
      <c r="L1402" s="31" t="s">
        <v>2450</v>
      </c>
      <c r="M1402" s="32">
        <v>0.35</v>
      </c>
      <c r="N1402" s="27" t="s">
        <v>33</v>
      </c>
      <c r="O1402" s="27" t="s">
        <v>53</v>
      </c>
      <c r="P1402" s="27" t="s">
        <v>80</v>
      </c>
      <c r="Q1402" s="27" t="s">
        <v>2451</v>
      </c>
      <c r="R1402" s="33">
        <v>64055</v>
      </c>
      <c r="S1402" s="34">
        <v>42132</v>
      </c>
      <c r="T1402" s="34">
        <v>42134</v>
      </c>
      <c r="U1402" s="29">
        <v>-48.57</v>
      </c>
      <c r="V1402" s="26">
        <v>5</v>
      </c>
      <c r="W1402" s="29">
        <v>86.8</v>
      </c>
      <c r="X1402" s="26">
        <v>89440</v>
      </c>
      <c r="Y1402" s="35">
        <v>83.05</v>
      </c>
      <c r="Z1402" s="1" t="s">
        <v>3012</v>
      </c>
      <c r="AA1402" s="36">
        <v>7.641</v>
      </c>
      <c r="AB1402" s="54">
        <v>56.42</v>
      </c>
      <c r="AC1402" s="54">
        <v>6.0759999999999996</v>
      </c>
      <c r="AD1402" s="36">
        <v>115.339</v>
      </c>
    </row>
    <row r="1403" spans="1:30" s="37" customFormat="1" ht="15.75" customHeight="1" x14ac:dyDescent="0.2">
      <c r="A1403" s="26">
        <v>453</v>
      </c>
      <c r="B1403" s="27" t="s">
        <v>2460</v>
      </c>
      <c r="C1403" s="27" t="s">
        <v>3094</v>
      </c>
      <c r="D1403" s="28">
        <v>0.03</v>
      </c>
      <c r="E1403" s="29">
        <v>29.34</v>
      </c>
      <c r="F1403" s="29">
        <v>7.87</v>
      </c>
      <c r="G1403" s="30" t="s">
        <v>39</v>
      </c>
      <c r="H1403" s="27" t="s">
        <v>94</v>
      </c>
      <c r="I1403" s="27" t="s">
        <v>29</v>
      </c>
      <c r="J1403" s="27" t="s">
        <v>126</v>
      </c>
      <c r="K1403" s="27" t="s">
        <v>73</v>
      </c>
      <c r="L1403" s="31" t="s">
        <v>1660</v>
      </c>
      <c r="M1403" s="32">
        <v>0.54</v>
      </c>
      <c r="N1403" s="27" t="s">
        <v>33</v>
      </c>
      <c r="O1403" s="27" t="s">
        <v>60</v>
      </c>
      <c r="P1403" s="27" t="s">
        <v>90</v>
      </c>
      <c r="Q1403" s="27" t="s">
        <v>2461</v>
      </c>
      <c r="R1403" s="33">
        <v>95032</v>
      </c>
      <c r="S1403" s="34">
        <v>42132</v>
      </c>
      <c r="T1403" s="34">
        <v>42134</v>
      </c>
      <c r="U1403" s="29">
        <v>-41.32</v>
      </c>
      <c r="V1403" s="26">
        <v>1</v>
      </c>
      <c r="W1403" s="29">
        <v>32.4</v>
      </c>
      <c r="X1403" s="26">
        <v>86011</v>
      </c>
      <c r="Y1403" s="35">
        <v>13.82</v>
      </c>
      <c r="Z1403" s="1" t="s">
        <v>3013</v>
      </c>
      <c r="AA1403" s="36">
        <v>0.88019999999999998</v>
      </c>
      <c r="AB1403" s="54">
        <v>14.903999999999998</v>
      </c>
      <c r="AC1403" s="54">
        <v>17.495999999999999</v>
      </c>
      <c r="AD1403" s="36">
        <v>64.969799999999992</v>
      </c>
    </row>
    <row r="1404" spans="1:30" s="37" customFormat="1" ht="15.75" customHeight="1" x14ac:dyDescent="0.2">
      <c r="A1404" s="26">
        <v>1650</v>
      </c>
      <c r="B1404" s="27" t="s">
        <v>2470</v>
      </c>
      <c r="C1404" s="27" t="s">
        <v>38</v>
      </c>
      <c r="D1404" s="28">
        <v>0.08</v>
      </c>
      <c r="E1404" s="29">
        <v>65.989999999999995</v>
      </c>
      <c r="F1404" s="29">
        <v>8.99</v>
      </c>
      <c r="G1404" s="30" t="s">
        <v>87</v>
      </c>
      <c r="H1404" s="27" t="s">
        <v>94</v>
      </c>
      <c r="I1404" s="27" t="s">
        <v>41</v>
      </c>
      <c r="J1404" s="27" t="s">
        <v>135</v>
      </c>
      <c r="K1404" s="27" t="s">
        <v>73</v>
      </c>
      <c r="L1404" s="31" t="s">
        <v>1612</v>
      </c>
      <c r="M1404" s="32">
        <v>0.55000000000000004</v>
      </c>
      <c r="N1404" s="27" t="s">
        <v>33</v>
      </c>
      <c r="O1404" s="27" t="s">
        <v>34</v>
      </c>
      <c r="P1404" s="27" t="s">
        <v>97</v>
      </c>
      <c r="Q1404" s="27" t="s">
        <v>2472</v>
      </c>
      <c r="R1404" s="33">
        <v>27203</v>
      </c>
      <c r="S1404" s="34">
        <v>42133</v>
      </c>
      <c r="T1404" s="34">
        <v>42135</v>
      </c>
      <c r="U1404" s="29">
        <v>-135.226</v>
      </c>
      <c r="V1404" s="26">
        <v>8</v>
      </c>
      <c r="W1404" s="29">
        <v>417.47</v>
      </c>
      <c r="X1404" s="26">
        <v>91042</v>
      </c>
      <c r="Y1404" s="35">
        <v>6.4300000000000006</v>
      </c>
      <c r="Z1404" s="1" t="s">
        <v>3011</v>
      </c>
      <c r="AA1404" s="36">
        <v>42.233599999999996</v>
      </c>
      <c r="AB1404" s="54">
        <v>187.86150000000001</v>
      </c>
      <c r="AC1404" s="54">
        <v>28.701062500000003</v>
      </c>
      <c r="AD1404" s="36">
        <v>501.47240000000005</v>
      </c>
    </row>
    <row r="1405" spans="1:30" s="37" customFormat="1" ht="15.75" customHeight="1" x14ac:dyDescent="0.2">
      <c r="A1405" s="26">
        <v>2882</v>
      </c>
      <c r="B1405" s="27" t="s">
        <v>671</v>
      </c>
      <c r="C1405" s="27" t="s">
        <v>26</v>
      </c>
      <c r="D1405" s="28">
        <v>0.05</v>
      </c>
      <c r="E1405" s="29">
        <v>6.48</v>
      </c>
      <c r="F1405" s="29">
        <v>8.73</v>
      </c>
      <c r="G1405" s="30" t="s">
        <v>39</v>
      </c>
      <c r="H1405" s="27" t="s">
        <v>40</v>
      </c>
      <c r="I1405" s="27" t="s">
        <v>49</v>
      </c>
      <c r="J1405" s="27" t="s">
        <v>88</v>
      </c>
      <c r="K1405" s="27" t="s">
        <v>73</v>
      </c>
      <c r="L1405" s="31" t="s">
        <v>158</v>
      </c>
      <c r="M1405" s="32">
        <v>0.37</v>
      </c>
      <c r="N1405" s="27" t="s">
        <v>33</v>
      </c>
      <c r="O1405" s="27" t="s">
        <v>34</v>
      </c>
      <c r="P1405" s="27" t="s">
        <v>97</v>
      </c>
      <c r="Q1405" s="27" t="s">
        <v>673</v>
      </c>
      <c r="R1405" s="33">
        <v>28206</v>
      </c>
      <c r="S1405" s="34">
        <v>42133</v>
      </c>
      <c r="T1405" s="34">
        <v>42133</v>
      </c>
      <c r="U1405" s="29">
        <v>-160.38470000000001</v>
      </c>
      <c r="V1405" s="26">
        <v>35</v>
      </c>
      <c r="W1405" s="29">
        <v>232.5</v>
      </c>
      <c r="X1405" s="26">
        <v>4839</v>
      </c>
      <c r="Y1405" s="35">
        <v>6.4300000000000006</v>
      </c>
      <c r="Z1405" s="1" t="s">
        <v>3011</v>
      </c>
      <c r="AA1405" s="36">
        <v>11.340000000000002</v>
      </c>
      <c r="AB1405" s="54">
        <v>146.47499999999999</v>
      </c>
      <c r="AC1405" s="54">
        <v>2.4578571428571432</v>
      </c>
      <c r="AD1405" s="36">
        <v>372.81470000000002</v>
      </c>
    </row>
    <row r="1406" spans="1:30" s="37" customFormat="1" ht="15.75" customHeight="1" x14ac:dyDescent="0.2">
      <c r="A1406" s="26">
        <v>1650</v>
      </c>
      <c r="B1406" s="27" t="s">
        <v>2470</v>
      </c>
      <c r="C1406" s="27" t="s">
        <v>38</v>
      </c>
      <c r="D1406" s="28">
        <v>0.05</v>
      </c>
      <c r="E1406" s="29">
        <v>6.48</v>
      </c>
      <c r="F1406" s="29">
        <v>2.74</v>
      </c>
      <c r="G1406" s="30" t="s">
        <v>39</v>
      </c>
      <c r="H1406" s="27" t="s">
        <v>94</v>
      </c>
      <c r="I1406" s="27" t="s">
        <v>41</v>
      </c>
      <c r="J1406" s="27" t="s">
        <v>42</v>
      </c>
      <c r="K1406" s="27" t="s">
        <v>43</v>
      </c>
      <c r="L1406" s="31" t="s">
        <v>2471</v>
      </c>
      <c r="M1406" s="32">
        <v>0.71</v>
      </c>
      <c r="N1406" s="27" t="s">
        <v>33</v>
      </c>
      <c r="O1406" s="27" t="s">
        <v>34</v>
      </c>
      <c r="P1406" s="27" t="s">
        <v>97</v>
      </c>
      <c r="Q1406" s="27" t="s">
        <v>2472</v>
      </c>
      <c r="R1406" s="33">
        <v>27203</v>
      </c>
      <c r="S1406" s="34">
        <v>42133</v>
      </c>
      <c r="T1406" s="34">
        <v>42133</v>
      </c>
      <c r="U1406" s="29">
        <v>15.096</v>
      </c>
      <c r="V1406" s="26">
        <v>15</v>
      </c>
      <c r="W1406" s="29">
        <v>94.27</v>
      </c>
      <c r="X1406" s="26">
        <v>91042</v>
      </c>
      <c r="Y1406" s="35">
        <v>5.9600000000000009</v>
      </c>
      <c r="Z1406" s="1" t="s">
        <v>3011</v>
      </c>
      <c r="AA1406" s="36">
        <v>4.8600000000000012</v>
      </c>
      <c r="AB1406" s="54">
        <v>27.338300000000004</v>
      </c>
      <c r="AC1406" s="54">
        <v>4.4621133333333329</v>
      </c>
      <c r="AD1406" s="36">
        <v>71.573999999999998</v>
      </c>
    </row>
    <row r="1407" spans="1:30" s="37" customFormat="1" ht="15.75" customHeight="1" x14ac:dyDescent="0.2">
      <c r="A1407" s="26">
        <v>1650</v>
      </c>
      <c r="B1407" s="27" t="s">
        <v>2470</v>
      </c>
      <c r="C1407" s="27" t="s">
        <v>38</v>
      </c>
      <c r="D1407" s="28">
        <v>0.09</v>
      </c>
      <c r="E1407" s="29">
        <v>12.53</v>
      </c>
      <c r="F1407" s="29">
        <v>0.5</v>
      </c>
      <c r="G1407" s="30" t="s">
        <v>39</v>
      </c>
      <c r="H1407" s="27" t="s">
        <v>94</v>
      </c>
      <c r="I1407" s="27" t="s">
        <v>49</v>
      </c>
      <c r="J1407" s="27" t="s">
        <v>152</v>
      </c>
      <c r="K1407" s="27" t="s">
        <v>73</v>
      </c>
      <c r="L1407" s="31" t="s">
        <v>2067</v>
      </c>
      <c r="M1407" s="32">
        <v>0.38</v>
      </c>
      <c r="N1407" s="27" t="s">
        <v>33</v>
      </c>
      <c r="O1407" s="27" t="s">
        <v>34</v>
      </c>
      <c r="P1407" s="27" t="s">
        <v>97</v>
      </c>
      <c r="Q1407" s="27" t="s">
        <v>2472</v>
      </c>
      <c r="R1407" s="33">
        <v>27203</v>
      </c>
      <c r="S1407" s="34">
        <v>42133</v>
      </c>
      <c r="T1407" s="34">
        <v>42134</v>
      </c>
      <c r="U1407" s="29">
        <v>14.9124</v>
      </c>
      <c r="V1407" s="26">
        <v>7</v>
      </c>
      <c r="W1407" s="29">
        <v>82.21</v>
      </c>
      <c r="X1407" s="26">
        <v>91042</v>
      </c>
      <c r="Y1407" s="35">
        <v>6.4300000000000006</v>
      </c>
      <c r="Z1407" s="1" t="s">
        <v>3011</v>
      </c>
      <c r="AA1407" s="36">
        <v>7.8938999999999995</v>
      </c>
      <c r="AB1407" s="54">
        <v>50.970199999999998</v>
      </c>
      <c r="AC1407" s="54">
        <v>4.4628285714285711</v>
      </c>
      <c r="AD1407" s="36">
        <v>58.903699999999994</v>
      </c>
    </row>
    <row r="1408" spans="1:30" s="37" customFormat="1" ht="15.75" customHeight="1" x14ac:dyDescent="0.2">
      <c r="A1408" s="26">
        <v>2883</v>
      </c>
      <c r="B1408" s="27" t="s">
        <v>2466</v>
      </c>
      <c r="C1408" s="27" t="s">
        <v>26</v>
      </c>
      <c r="D1408" s="28">
        <v>0.05</v>
      </c>
      <c r="E1408" s="29">
        <v>6.48</v>
      </c>
      <c r="F1408" s="29">
        <v>8.73</v>
      </c>
      <c r="G1408" s="30" t="s">
        <v>39</v>
      </c>
      <c r="H1408" s="27" t="s">
        <v>40</v>
      </c>
      <c r="I1408" s="27" t="s">
        <v>49</v>
      </c>
      <c r="J1408" s="27" t="s">
        <v>88</v>
      </c>
      <c r="K1408" s="27" t="s">
        <v>73</v>
      </c>
      <c r="L1408" s="31" t="s">
        <v>158</v>
      </c>
      <c r="M1408" s="32">
        <v>0.37</v>
      </c>
      <c r="N1408" s="27" t="s">
        <v>33</v>
      </c>
      <c r="O1408" s="27" t="s">
        <v>111</v>
      </c>
      <c r="P1408" s="27" t="s">
        <v>317</v>
      </c>
      <c r="Q1408" s="27" t="s">
        <v>1475</v>
      </c>
      <c r="R1408" s="33">
        <v>44070</v>
      </c>
      <c r="S1408" s="34">
        <v>42133</v>
      </c>
      <c r="T1408" s="34">
        <v>42133</v>
      </c>
      <c r="U1408" s="29">
        <v>-120.59</v>
      </c>
      <c r="V1408" s="26">
        <v>9</v>
      </c>
      <c r="W1408" s="29">
        <v>59.79</v>
      </c>
      <c r="X1408" s="26">
        <v>87632</v>
      </c>
      <c r="Y1408" s="35">
        <v>12.44</v>
      </c>
      <c r="Z1408" s="1" t="s">
        <v>3014</v>
      </c>
      <c r="AA1408" s="36">
        <v>2.9160000000000004</v>
      </c>
      <c r="AB1408" s="54">
        <v>37.667699999999996</v>
      </c>
      <c r="AC1408" s="54">
        <v>2.4580333333333333</v>
      </c>
      <c r="AD1408" s="36">
        <v>168.73400000000001</v>
      </c>
    </row>
    <row r="1409" spans="1:30" s="37" customFormat="1" ht="15.75" customHeight="1" x14ac:dyDescent="0.2">
      <c r="A1409" s="26">
        <v>62</v>
      </c>
      <c r="B1409" s="27" t="s">
        <v>2467</v>
      </c>
      <c r="C1409" s="27" t="s">
        <v>38</v>
      </c>
      <c r="D1409" s="28">
        <v>0.02</v>
      </c>
      <c r="E1409" s="29">
        <v>5.98</v>
      </c>
      <c r="F1409" s="29">
        <v>5.15</v>
      </c>
      <c r="G1409" s="30" t="s">
        <v>39</v>
      </c>
      <c r="H1409" s="27" t="s">
        <v>94</v>
      </c>
      <c r="I1409" s="27" t="s">
        <v>49</v>
      </c>
      <c r="J1409" s="27" t="s">
        <v>88</v>
      </c>
      <c r="K1409" s="27" t="s">
        <v>73</v>
      </c>
      <c r="L1409" s="31" t="s">
        <v>2468</v>
      </c>
      <c r="M1409" s="32">
        <v>0.36</v>
      </c>
      <c r="N1409" s="27" t="s">
        <v>33</v>
      </c>
      <c r="O1409" s="27" t="s">
        <v>53</v>
      </c>
      <c r="P1409" s="27" t="s">
        <v>187</v>
      </c>
      <c r="Q1409" s="27" t="s">
        <v>2469</v>
      </c>
      <c r="R1409" s="33">
        <v>78664</v>
      </c>
      <c r="S1409" s="34">
        <v>42133</v>
      </c>
      <c r="T1409" s="34">
        <v>42135</v>
      </c>
      <c r="U1409" s="29">
        <v>2.14</v>
      </c>
      <c r="V1409" s="26">
        <v>3</v>
      </c>
      <c r="W1409" s="29">
        <v>22.85</v>
      </c>
      <c r="X1409" s="26">
        <v>87407</v>
      </c>
      <c r="Y1409" s="35">
        <v>65.91</v>
      </c>
      <c r="Z1409" s="1" t="s">
        <v>3012</v>
      </c>
      <c r="AA1409" s="36">
        <v>0.35880000000000001</v>
      </c>
      <c r="AB1409" s="54">
        <v>14.624000000000001</v>
      </c>
      <c r="AC1409" s="54">
        <v>2.742</v>
      </c>
      <c r="AD1409" s="36">
        <v>15.2012</v>
      </c>
    </row>
    <row r="1410" spans="1:30" s="37" customFormat="1" ht="15.75" customHeight="1" x14ac:dyDescent="0.2">
      <c r="A1410" s="26">
        <v>1709</v>
      </c>
      <c r="B1410" s="27" t="s">
        <v>684</v>
      </c>
      <c r="C1410" s="27" t="s">
        <v>116</v>
      </c>
      <c r="D1410" s="28">
        <v>0.04</v>
      </c>
      <c r="E1410" s="29">
        <v>95.43</v>
      </c>
      <c r="F1410" s="29">
        <v>19.989999999999998</v>
      </c>
      <c r="G1410" s="30" t="s">
        <v>39</v>
      </c>
      <c r="H1410" s="27" t="s">
        <v>3095</v>
      </c>
      <c r="I1410" s="27" t="s">
        <v>49</v>
      </c>
      <c r="J1410" s="27" t="s">
        <v>78</v>
      </c>
      <c r="K1410" s="27" t="s">
        <v>73</v>
      </c>
      <c r="L1410" s="31" t="s">
        <v>1437</v>
      </c>
      <c r="M1410" s="32">
        <v>0.79</v>
      </c>
      <c r="N1410" s="27" t="s">
        <v>33</v>
      </c>
      <c r="O1410" s="27" t="s">
        <v>111</v>
      </c>
      <c r="P1410" s="27" t="s">
        <v>320</v>
      </c>
      <c r="Q1410" s="27" t="s">
        <v>686</v>
      </c>
      <c r="R1410" s="33">
        <v>19464</v>
      </c>
      <c r="S1410" s="34">
        <v>42134</v>
      </c>
      <c r="T1410" s="34">
        <v>42136</v>
      </c>
      <c r="U1410" s="29">
        <v>13.536</v>
      </c>
      <c r="V1410" s="26">
        <v>33</v>
      </c>
      <c r="W1410" s="29">
        <v>3251.76</v>
      </c>
      <c r="X1410" s="26">
        <v>88783</v>
      </c>
      <c r="Y1410" s="35">
        <v>99.99</v>
      </c>
      <c r="Z1410" s="1" t="s">
        <v>3014</v>
      </c>
      <c r="AA1410" s="36">
        <v>125.9676</v>
      </c>
      <c r="AB1410" s="54">
        <v>682.86959999999988</v>
      </c>
      <c r="AC1410" s="54">
        <v>77.845163636363651</v>
      </c>
      <c r="AD1410" s="36">
        <v>3092.2664000000004</v>
      </c>
    </row>
    <row r="1411" spans="1:30" s="37" customFormat="1" ht="15.75" customHeight="1" x14ac:dyDescent="0.2">
      <c r="A1411" s="26">
        <v>43</v>
      </c>
      <c r="B1411" s="27" t="s">
        <v>2473</v>
      </c>
      <c r="C1411" s="27" t="s">
        <v>38</v>
      </c>
      <c r="D1411" s="28">
        <v>0</v>
      </c>
      <c r="E1411" s="29">
        <v>99.99</v>
      </c>
      <c r="F1411" s="29">
        <v>19.989999999999998</v>
      </c>
      <c r="G1411" s="30" t="s">
        <v>39</v>
      </c>
      <c r="H1411" s="27" t="s">
        <v>40</v>
      </c>
      <c r="I1411" s="27" t="s">
        <v>41</v>
      </c>
      <c r="J1411" s="27" t="s">
        <v>57</v>
      </c>
      <c r="K1411" s="27" t="s">
        <v>73</v>
      </c>
      <c r="L1411" s="31" t="s">
        <v>1562</v>
      </c>
      <c r="M1411" s="32">
        <v>0.52</v>
      </c>
      <c r="N1411" s="27" t="s">
        <v>33</v>
      </c>
      <c r="O1411" s="27" t="s">
        <v>60</v>
      </c>
      <c r="P1411" s="27" t="s">
        <v>67</v>
      </c>
      <c r="Q1411" s="27" t="s">
        <v>842</v>
      </c>
      <c r="R1411" s="33">
        <v>98052</v>
      </c>
      <c r="S1411" s="34">
        <v>42134</v>
      </c>
      <c r="T1411" s="34">
        <v>42135</v>
      </c>
      <c r="U1411" s="29">
        <v>25.913820000000001</v>
      </c>
      <c r="V1411" s="26">
        <v>6</v>
      </c>
      <c r="W1411" s="29">
        <v>647.07000000000005</v>
      </c>
      <c r="X1411" s="26">
        <v>91454</v>
      </c>
      <c r="Y1411" s="35">
        <v>13.93</v>
      </c>
      <c r="Z1411" s="1" t="s">
        <v>3013</v>
      </c>
      <c r="AA1411" s="36">
        <v>0</v>
      </c>
      <c r="AB1411" s="54">
        <v>310.59360000000004</v>
      </c>
      <c r="AC1411" s="54">
        <v>56.079400000000007</v>
      </c>
      <c r="AD1411" s="36">
        <v>601.16618000000005</v>
      </c>
    </row>
    <row r="1412" spans="1:30" s="37" customFormat="1" ht="15.75" customHeight="1" x14ac:dyDescent="0.2">
      <c r="A1412" s="26">
        <v>3283</v>
      </c>
      <c r="B1412" s="27" t="s">
        <v>2244</v>
      </c>
      <c r="C1412" s="27" t="s">
        <v>38</v>
      </c>
      <c r="D1412" s="28">
        <v>0.03</v>
      </c>
      <c r="E1412" s="29">
        <v>17.48</v>
      </c>
      <c r="F1412" s="29">
        <v>1.99</v>
      </c>
      <c r="G1412" s="30" t="s">
        <v>39</v>
      </c>
      <c r="H1412" s="27" t="s">
        <v>94</v>
      </c>
      <c r="I1412" s="27" t="s">
        <v>41</v>
      </c>
      <c r="J1412" s="27" t="s">
        <v>42</v>
      </c>
      <c r="K1412" s="27" t="s">
        <v>43</v>
      </c>
      <c r="L1412" s="31" t="s">
        <v>122</v>
      </c>
      <c r="M1412" s="32">
        <v>0.45</v>
      </c>
      <c r="N1412" s="27" t="s">
        <v>33</v>
      </c>
      <c r="O1412" s="27" t="s">
        <v>34</v>
      </c>
      <c r="P1412" s="27" t="s">
        <v>123</v>
      </c>
      <c r="Q1412" s="27" t="s">
        <v>2245</v>
      </c>
      <c r="R1412" s="33">
        <v>33156</v>
      </c>
      <c r="S1412" s="34">
        <v>42134</v>
      </c>
      <c r="T1412" s="34">
        <v>42135</v>
      </c>
      <c r="U1412" s="29">
        <v>710.80740000000003</v>
      </c>
      <c r="V1412" s="26">
        <v>31</v>
      </c>
      <c r="W1412" s="29">
        <v>537.79999999999995</v>
      </c>
      <c r="X1412" s="26">
        <v>90753</v>
      </c>
      <c r="Y1412" s="35">
        <v>14.979999999999999</v>
      </c>
      <c r="Z1412" s="1" t="s">
        <v>3011</v>
      </c>
      <c r="AA1412" s="36">
        <v>16.256399999999999</v>
      </c>
      <c r="AB1412" s="54">
        <v>295.79000000000002</v>
      </c>
      <c r="AC1412" s="54">
        <v>7.806774193548387</v>
      </c>
      <c r="AD1412" s="36">
        <v>-191.25380000000007</v>
      </c>
    </row>
    <row r="1413" spans="1:30" s="37" customFormat="1" ht="15.75" customHeight="1" x14ac:dyDescent="0.2">
      <c r="A1413" s="26">
        <v>1778</v>
      </c>
      <c r="B1413" s="27" t="s">
        <v>2474</v>
      </c>
      <c r="C1413" s="27" t="s">
        <v>38</v>
      </c>
      <c r="D1413" s="28">
        <v>0.06</v>
      </c>
      <c r="E1413" s="29">
        <v>13.99</v>
      </c>
      <c r="F1413" s="29">
        <v>7.51</v>
      </c>
      <c r="G1413" s="30" t="s">
        <v>39</v>
      </c>
      <c r="H1413" s="27" t="s">
        <v>40</v>
      </c>
      <c r="I1413" s="27" t="s">
        <v>41</v>
      </c>
      <c r="J1413" s="27" t="s">
        <v>57</v>
      </c>
      <c r="K1413" s="27" t="s">
        <v>144</v>
      </c>
      <c r="L1413" s="31" t="s">
        <v>1076</v>
      </c>
      <c r="M1413" s="32">
        <v>0.39</v>
      </c>
      <c r="N1413" s="27" t="s">
        <v>33</v>
      </c>
      <c r="O1413" s="27" t="s">
        <v>53</v>
      </c>
      <c r="P1413" s="27" t="s">
        <v>54</v>
      </c>
      <c r="Q1413" s="27" t="s">
        <v>2475</v>
      </c>
      <c r="R1413" s="33">
        <v>47906</v>
      </c>
      <c r="S1413" s="34">
        <v>42134</v>
      </c>
      <c r="T1413" s="34">
        <v>42136</v>
      </c>
      <c r="U1413" s="29">
        <v>6.4832400000000003</v>
      </c>
      <c r="V1413" s="26">
        <v>21</v>
      </c>
      <c r="W1413" s="29">
        <v>287.99</v>
      </c>
      <c r="X1413" s="26">
        <v>89943</v>
      </c>
      <c r="Y1413" s="35">
        <v>17.45</v>
      </c>
      <c r="Z1413" s="1" t="s">
        <v>3012</v>
      </c>
      <c r="AA1413" s="36">
        <v>17.627400000000002</v>
      </c>
      <c r="AB1413" s="54">
        <v>175.6739</v>
      </c>
      <c r="AC1413" s="54">
        <v>5.3483857142857145</v>
      </c>
      <c r="AD1413" s="36">
        <v>256.36936000000003</v>
      </c>
    </row>
    <row r="1414" spans="1:30" s="37" customFormat="1" ht="15.75" customHeight="1" x14ac:dyDescent="0.2">
      <c r="A1414" s="26">
        <v>2820</v>
      </c>
      <c r="B1414" s="27" t="s">
        <v>495</v>
      </c>
      <c r="C1414" s="27" t="s">
        <v>48</v>
      </c>
      <c r="D1414" s="28">
        <v>0.08</v>
      </c>
      <c r="E1414" s="29">
        <v>6.48</v>
      </c>
      <c r="F1414" s="29">
        <v>2.74</v>
      </c>
      <c r="G1414" s="30" t="s">
        <v>39</v>
      </c>
      <c r="H1414" s="27" t="s">
        <v>71</v>
      </c>
      <c r="I1414" s="27" t="s">
        <v>41</v>
      </c>
      <c r="J1414" s="27" t="s">
        <v>42</v>
      </c>
      <c r="K1414" s="27" t="s">
        <v>43</v>
      </c>
      <c r="L1414" s="31" t="s">
        <v>2471</v>
      </c>
      <c r="M1414" s="32">
        <v>0.71</v>
      </c>
      <c r="N1414" s="27" t="s">
        <v>33</v>
      </c>
      <c r="O1414" s="27" t="s">
        <v>53</v>
      </c>
      <c r="P1414" s="27" t="s">
        <v>80</v>
      </c>
      <c r="Q1414" s="27" t="s">
        <v>497</v>
      </c>
      <c r="R1414" s="33">
        <v>63129</v>
      </c>
      <c r="S1414" s="34">
        <v>42134</v>
      </c>
      <c r="T1414" s="34">
        <v>42136</v>
      </c>
      <c r="U1414" s="29">
        <v>-82.64</v>
      </c>
      <c r="V1414" s="26">
        <v>18</v>
      </c>
      <c r="W1414" s="29">
        <v>113.68</v>
      </c>
      <c r="X1414" s="26">
        <v>87899</v>
      </c>
      <c r="Y1414" s="35">
        <v>7.55</v>
      </c>
      <c r="Z1414" s="1" t="s">
        <v>3012</v>
      </c>
      <c r="AA1414" s="36">
        <v>9.3312000000000008</v>
      </c>
      <c r="AB1414" s="54">
        <v>32.967200000000005</v>
      </c>
      <c r="AC1414" s="54">
        <v>4.4840444444444447</v>
      </c>
      <c r="AD1414" s="36">
        <v>184.24880000000002</v>
      </c>
    </row>
    <row r="1415" spans="1:30" s="37" customFormat="1" ht="15.75" customHeight="1" x14ac:dyDescent="0.2">
      <c r="A1415" s="26">
        <v>995</v>
      </c>
      <c r="B1415" s="27" t="s">
        <v>2476</v>
      </c>
      <c r="C1415" s="27" t="s">
        <v>48</v>
      </c>
      <c r="D1415" s="28">
        <v>0.09</v>
      </c>
      <c r="E1415" s="29">
        <v>7.64</v>
      </c>
      <c r="F1415" s="29">
        <v>5.83</v>
      </c>
      <c r="G1415" s="30" t="s">
        <v>39</v>
      </c>
      <c r="H1415" s="27" t="s">
        <v>3095</v>
      </c>
      <c r="I1415" s="27" t="s">
        <v>49</v>
      </c>
      <c r="J1415" s="27" t="s">
        <v>88</v>
      </c>
      <c r="K1415" s="27" t="s">
        <v>51</v>
      </c>
      <c r="L1415" s="31" t="s">
        <v>232</v>
      </c>
      <c r="M1415" s="32">
        <v>0.36</v>
      </c>
      <c r="N1415" s="27" t="s">
        <v>33</v>
      </c>
      <c r="O1415" s="27" t="s">
        <v>111</v>
      </c>
      <c r="P1415" s="27" t="s">
        <v>331</v>
      </c>
      <c r="Q1415" s="27" t="s">
        <v>2477</v>
      </c>
      <c r="R1415" s="33">
        <v>4070</v>
      </c>
      <c r="S1415" s="34">
        <v>42134</v>
      </c>
      <c r="T1415" s="34">
        <v>42139</v>
      </c>
      <c r="U1415" s="29">
        <v>4.032</v>
      </c>
      <c r="V1415" s="26">
        <v>9</v>
      </c>
      <c r="W1415" s="29">
        <v>72.83</v>
      </c>
      <c r="X1415" s="26">
        <v>89434</v>
      </c>
      <c r="Y1415" s="35">
        <v>6.4</v>
      </c>
      <c r="Z1415" s="1" t="s">
        <v>3014</v>
      </c>
      <c r="AA1415" s="36">
        <v>6.1883999999999997</v>
      </c>
      <c r="AB1415" s="54">
        <v>46.611199999999997</v>
      </c>
      <c r="AC1415" s="54">
        <v>2.9131999999999998</v>
      </c>
      <c r="AD1415" s="36">
        <v>56.779600000000002</v>
      </c>
    </row>
    <row r="1416" spans="1:30" s="37" customFormat="1" ht="15.75" customHeight="1" x14ac:dyDescent="0.2">
      <c r="A1416" s="26">
        <v>1778</v>
      </c>
      <c r="B1416" s="27" t="s">
        <v>2474</v>
      </c>
      <c r="C1416" s="27" t="s">
        <v>38</v>
      </c>
      <c r="D1416" s="28">
        <v>0.06</v>
      </c>
      <c r="E1416" s="29">
        <v>15.04</v>
      </c>
      <c r="F1416" s="29">
        <v>1.97</v>
      </c>
      <c r="G1416" s="30" t="s">
        <v>39</v>
      </c>
      <c r="H1416" s="27" t="s">
        <v>40</v>
      </c>
      <c r="I1416" s="27" t="s">
        <v>49</v>
      </c>
      <c r="J1416" s="27" t="s">
        <v>88</v>
      </c>
      <c r="K1416" s="27" t="s">
        <v>51</v>
      </c>
      <c r="L1416" s="31" t="s">
        <v>92</v>
      </c>
      <c r="M1416" s="32">
        <v>0.39</v>
      </c>
      <c r="N1416" s="27" t="s">
        <v>33</v>
      </c>
      <c r="O1416" s="27" t="s">
        <v>53</v>
      </c>
      <c r="P1416" s="27" t="s">
        <v>54</v>
      </c>
      <c r="Q1416" s="27" t="s">
        <v>2475</v>
      </c>
      <c r="R1416" s="33">
        <v>47906</v>
      </c>
      <c r="S1416" s="34">
        <v>42134</v>
      </c>
      <c r="T1416" s="34">
        <v>42134</v>
      </c>
      <c r="U1416" s="29">
        <v>2.3319999999999999</v>
      </c>
      <c r="V1416" s="26">
        <v>3</v>
      </c>
      <c r="W1416" s="29">
        <v>46.86</v>
      </c>
      <c r="X1416" s="26">
        <v>89943</v>
      </c>
      <c r="Y1416" s="35">
        <v>95.39</v>
      </c>
      <c r="Z1416" s="1" t="s">
        <v>3012</v>
      </c>
      <c r="AA1416" s="36">
        <v>2.7071999999999994</v>
      </c>
      <c r="AB1416" s="54">
        <v>28.584599999999998</v>
      </c>
      <c r="AC1416" s="54">
        <v>6.0918000000000001</v>
      </c>
      <c r="AD1416" s="36">
        <v>39.8508</v>
      </c>
    </row>
    <row r="1417" spans="1:30" s="37" customFormat="1" ht="15.75" customHeight="1" x14ac:dyDescent="0.2">
      <c r="A1417" s="26">
        <v>1595</v>
      </c>
      <c r="B1417" s="27" t="s">
        <v>2478</v>
      </c>
      <c r="C1417" s="27" t="s">
        <v>38</v>
      </c>
      <c r="D1417" s="28">
        <v>0.01</v>
      </c>
      <c r="E1417" s="29">
        <v>500.98</v>
      </c>
      <c r="F1417" s="29">
        <v>26</v>
      </c>
      <c r="G1417" s="30" t="s">
        <v>27</v>
      </c>
      <c r="H1417" s="27" t="s">
        <v>94</v>
      </c>
      <c r="I1417" s="27" t="s">
        <v>29</v>
      </c>
      <c r="J1417" s="27" t="s">
        <v>109</v>
      </c>
      <c r="K1417" s="27" t="s">
        <v>58</v>
      </c>
      <c r="L1417" s="31" t="s">
        <v>2296</v>
      </c>
      <c r="M1417" s="32">
        <v>0.6</v>
      </c>
      <c r="N1417" s="27" t="s">
        <v>33</v>
      </c>
      <c r="O1417" s="27" t="s">
        <v>111</v>
      </c>
      <c r="P1417" s="27" t="s">
        <v>903</v>
      </c>
      <c r="Q1417" s="27" t="s">
        <v>2479</v>
      </c>
      <c r="R1417" s="33">
        <v>25705</v>
      </c>
      <c r="S1417" s="34">
        <v>42135</v>
      </c>
      <c r="T1417" s="34">
        <v>42136</v>
      </c>
      <c r="U1417" s="29">
        <v>5078.5379999999996</v>
      </c>
      <c r="V1417" s="26">
        <v>14</v>
      </c>
      <c r="W1417" s="29">
        <v>7360.2</v>
      </c>
      <c r="X1417" s="26">
        <v>90796</v>
      </c>
      <c r="Y1417" s="35">
        <v>500.97</v>
      </c>
      <c r="Z1417" s="1" t="s">
        <v>3014</v>
      </c>
      <c r="AA1417" s="36">
        <v>70.137200000000007</v>
      </c>
      <c r="AB1417" s="54">
        <v>2944.08</v>
      </c>
      <c r="AC1417" s="54">
        <v>315.43714285714282</v>
      </c>
      <c r="AD1417" s="36">
        <v>2185.5248000000001</v>
      </c>
    </row>
    <row r="1418" spans="1:30" s="37" customFormat="1" ht="15.75" customHeight="1" x14ac:dyDescent="0.2">
      <c r="A1418" s="26">
        <v>2464</v>
      </c>
      <c r="B1418" s="27" t="s">
        <v>655</v>
      </c>
      <c r="C1418" s="27" t="s">
        <v>38</v>
      </c>
      <c r="D1418" s="28">
        <v>0.08</v>
      </c>
      <c r="E1418" s="29">
        <v>227.55</v>
      </c>
      <c r="F1418" s="29">
        <v>32.479999999999997</v>
      </c>
      <c r="G1418" s="30" t="s">
        <v>27</v>
      </c>
      <c r="H1418" s="27" t="s">
        <v>40</v>
      </c>
      <c r="I1418" s="27" t="s">
        <v>29</v>
      </c>
      <c r="J1418" s="27" t="s">
        <v>30</v>
      </c>
      <c r="K1418" s="27" t="s">
        <v>31</v>
      </c>
      <c r="L1418" s="31" t="s">
        <v>2483</v>
      </c>
      <c r="M1418" s="32">
        <v>0.68</v>
      </c>
      <c r="N1418" s="27" t="s">
        <v>33</v>
      </c>
      <c r="O1418" s="27" t="s">
        <v>34</v>
      </c>
      <c r="P1418" s="27" t="s">
        <v>168</v>
      </c>
      <c r="Q1418" s="27" t="s">
        <v>657</v>
      </c>
      <c r="R1418" s="33">
        <v>71111</v>
      </c>
      <c r="S1418" s="34">
        <v>42135</v>
      </c>
      <c r="T1418" s="34">
        <v>42135</v>
      </c>
      <c r="U1418" s="29">
        <v>-570.16959999999995</v>
      </c>
      <c r="V1418" s="26">
        <v>16</v>
      </c>
      <c r="W1418" s="29">
        <v>2849.64</v>
      </c>
      <c r="X1418" s="26">
        <v>88713</v>
      </c>
      <c r="Y1418" s="35">
        <v>9.69</v>
      </c>
      <c r="Z1418" s="1" t="s">
        <v>3011</v>
      </c>
      <c r="AA1418" s="36">
        <v>291.26400000000001</v>
      </c>
      <c r="AB1418" s="54">
        <v>911.88479999999981</v>
      </c>
      <c r="AC1418" s="54">
        <v>121.1097</v>
      </c>
      <c r="AD1418" s="36">
        <v>3096.0655999999999</v>
      </c>
    </row>
    <row r="1419" spans="1:30" s="37" customFormat="1" ht="15.75" customHeight="1" x14ac:dyDescent="0.2">
      <c r="A1419" s="26">
        <v>1693</v>
      </c>
      <c r="B1419" s="27" t="s">
        <v>738</v>
      </c>
      <c r="C1419" s="27" t="s">
        <v>48</v>
      </c>
      <c r="D1419" s="28">
        <v>0.01</v>
      </c>
      <c r="E1419" s="29">
        <v>15.67</v>
      </c>
      <c r="F1419" s="29">
        <v>1.39</v>
      </c>
      <c r="G1419" s="30" t="s">
        <v>87</v>
      </c>
      <c r="H1419" s="27" t="s">
        <v>40</v>
      </c>
      <c r="I1419" s="27" t="s">
        <v>49</v>
      </c>
      <c r="J1419" s="27" t="s">
        <v>345</v>
      </c>
      <c r="K1419" s="27" t="s">
        <v>73</v>
      </c>
      <c r="L1419" s="31" t="s">
        <v>2484</v>
      </c>
      <c r="M1419" s="32">
        <v>0.38</v>
      </c>
      <c r="N1419" s="27" t="s">
        <v>33</v>
      </c>
      <c r="O1419" s="27" t="s">
        <v>34</v>
      </c>
      <c r="P1419" s="27" t="s">
        <v>242</v>
      </c>
      <c r="Q1419" s="27" t="s">
        <v>740</v>
      </c>
      <c r="R1419" s="33">
        <v>20190</v>
      </c>
      <c r="S1419" s="34">
        <v>42135</v>
      </c>
      <c r="T1419" s="34">
        <v>42135</v>
      </c>
      <c r="U1419" s="29">
        <v>-273.98</v>
      </c>
      <c r="V1419" s="26">
        <v>11</v>
      </c>
      <c r="W1419" s="29">
        <v>188.09</v>
      </c>
      <c r="X1419" s="26">
        <v>90190</v>
      </c>
      <c r="Y1419" s="35">
        <v>3.19</v>
      </c>
      <c r="Z1419" s="1" t="s">
        <v>3011</v>
      </c>
      <c r="AA1419" s="36">
        <v>1.7237</v>
      </c>
      <c r="AB1419" s="54">
        <v>116.61580000000001</v>
      </c>
      <c r="AC1419" s="54">
        <v>6.4976545454545453</v>
      </c>
      <c r="AD1419" s="36">
        <v>458.95630000000006</v>
      </c>
    </row>
    <row r="1420" spans="1:30" s="37" customFormat="1" ht="15.75" customHeight="1" x14ac:dyDescent="0.2">
      <c r="A1420" s="26">
        <v>1595</v>
      </c>
      <c r="B1420" s="27" t="s">
        <v>2478</v>
      </c>
      <c r="C1420" s="27" t="s">
        <v>38</v>
      </c>
      <c r="D1420" s="28">
        <v>0.09</v>
      </c>
      <c r="E1420" s="29">
        <v>3.28</v>
      </c>
      <c r="F1420" s="29">
        <v>0.98</v>
      </c>
      <c r="G1420" s="30" t="s">
        <v>39</v>
      </c>
      <c r="H1420" s="27" t="s">
        <v>94</v>
      </c>
      <c r="I1420" s="27" t="s">
        <v>49</v>
      </c>
      <c r="J1420" s="27" t="s">
        <v>50</v>
      </c>
      <c r="K1420" s="27" t="s">
        <v>51</v>
      </c>
      <c r="L1420" s="31" t="s">
        <v>2480</v>
      </c>
      <c r="M1420" s="32">
        <v>0.59</v>
      </c>
      <c r="N1420" s="27" t="s">
        <v>33</v>
      </c>
      <c r="O1420" s="27" t="s">
        <v>111</v>
      </c>
      <c r="P1420" s="27" t="s">
        <v>903</v>
      </c>
      <c r="Q1420" s="27" t="s">
        <v>2479</v>
      </c>
      <c r="R1420" s="33">
        <v>25705</v>
      </c>
      <c r="S1420" s="34">
        <v>42135</v>
      </c>
      <c r="T1420" s="34">
        <v>42137</v>
      </c>
      <c r="U1420" s="29">
        <v>17.754000000000001</v>
      </c>
      <c r="V1420" s="26">
        <v>42</v>
      </c>
      <c r="W1420" s="29">
        <v>134.97</v>
      </c>
      <c r="X1420" s="26">
        <v>90796</v>
      </c>
      <c r="Y1420" s="35">
        <v>2.1300000000000003</v>
      </c>
      <c r="Z1420" s="1" t="s">
        <v>3014</v>
      </c>
      <c r="AA1420" s="36">
        <v>12.398399999999999</v>
      </c>
      <c r="AB1420" s="54">
        <v>55.337700000000005</v>
      </c>
      <c r="AC1420" s="54">
        <v>1.8960071428571428</v>
      </c>
      <c r="AD1420" s="36">
        <v>103.83759999999999</v>
      </c>
    </row>
    <row r="1421" spans="1:30" s="37" customFormat="1" ht="15.75" customHeight="1" x14ac:dyDescent="0.2">
      <c r="A1421" s="26">
        <v>1595</v>
      </c>
      <c r="B1421" s="27" t="s">
        <v>2478</v>
      </c>
      <c r="C1421" s="27" t="s">
        <v>38</v>
      </c>
      <c r="D1421" s="28">
        <v>0.08</v>
      </c>
      <c r="E1421" s="29">
        <v>9.77</v>
      </c>
      <c r="F1421" s="29">
        <v>6.02</v>
      </c>
      <c r="G1421" s="30" t="s">
        <v>39</v>
      </c>
      <c r="H1421" s="27" t="s">
        <v>94</v>
      </c>
      <c r="I1421" s="27" t="s">
        <v>29</v>
      </c>
      <c r="J1421" s="27" t="s">
        <v>126</v>
      </c>
      <c r="K1421" s="27" t="s">
        <v>144</v>
      </c>
      <c r="L1421" s="31" t="s">
        <v>2119</v>
      </c>
      <c r="M1421" s="32">
        <v>0.48</v>
      </c>
      <c r="N1421" s="27" t="s">
        <v>33</v>
      </c>
      <c r="O1421" s="27" t="s">
        <v>111</v>
      </c>
      <c r="P1421" s="27" t="s">
        <v>903</v>
      </c>
      <c r="Q1421" s="27" t="s">
        <v>2479</v>
      </c>
      <c r="R1421" s="33">
        <v>25705</v>
      </c>
      <c r="S1421" s="34">
        <v>42135</v>
      </c>
      <c r="T1421" s="34">
        <v>42136</v>
      </c>
      <c r="U1421" s="29">
        <v>23.276</v>
      </c>
      <c r="V1421" s="26">
        <v>9</v>
      </c>
      <c r="W1421" s="29">
        <v>89.06</v>
      </c>
      <c r="X1421" s="26">
        <v>90796</v>
      </c>
      <c r="Y1421" s="35">
        <v>9.6800000000000015</v>
      </c>
      <c r="Z1421" s="1" t="s">
        <v>3014</v>
      </c>
      <c r="AA1421" s="36">
        <v>7.0343999999999998</v>
      </c>
      <c r="AB1421" s="54">
        <v>46.311199999999999</v>
      </c>
      <c r="AC1421" s="54">
        <v>4.7498666666666667</v>
      </c>
      <c r="AD1421" s="36">
        <v>52.729600000000005</v>
      </c>
    </row>
    <row r="1422" spans="1:30" s="37" customFormat="1" ht="15.75" customHeight="1" x14ac:dyDescent="0.2">
      <c r="A1422" s="26">
        <v>1609</v>
      </c>
      <c r="B1422" s="27" t="s">
        <v>2481</v>
      </c>
      <c r="C1422" s="27" t="s">
        <v>38</v>
      </c>
      <c r="D1422" s="28">
        <v>0.03</v>
      </c>
      <c r="E1422" s="29">
        <v>9.7100000000000009</v>
      </c>
      <c r="F1422" s="29">
        <v>9.4499999999999993</v>
      </c>
      <c r="G1422" s="30" t="s">
        <v>39</v>
      </c>
      <c r="H1422" s="27" t="s">
        <v>40</v>
      </c>
      <c r="I1422" s="27" t="s">
        <v>49</v>
      </c>
      <c r="J1422" s="27" t="s">
        <v>78</v>
      </c>
      <c r="K1422" s="27" t="s">
        <v>73</v>
      </c>
      <c r="L1422" s="31" t="s">
        <v>1203</v>
      </c>
      <c r="M1422" s="32">
        <v>0.6</v>
      </c>
      <c r="N1422" s="27" t="s">
        <v>33</v>
      </c>
      <c r="O1422" s="27" t="s">
        <v>60</v>
      </c>
      <c r="P1422" s="27" t="s">
        <v>90</v>
      </c>
      <c r="Q1422" s="27" t="s">
        <v>2482</v>
      </c>
      <c r="R1422" s="33">
        <v>95823</v>
      </c>
      <c r="S1422" s="34">
        <v>42135</v>
      </c>
      <c r="T1422" s="34">
        <v>42135</v>
      </c>
      <c r="U1422" s="29">
        <v>-36.9</v>
      </c>
      <c r="V1422" s="26">
        <v>2</v>
      </c>
      <c r="W1422" s="29">
        <v>23.56</v>
      </c>
      <c r="X1422" s="26">
        <v>87824</v>
      </c>
      <c r="Y1422" s="35">
        <v>1.65</v>
      </c>
      <c r="Z1422" s="1" t="s">
        <v>3013</v>
      </c>
      <c r="AA1422" s="36">
        <v>0.58260000000000001</v>
      </c>
      <c r="AB1422" s="54">
        <v>9.4239999999999995</v>
      </c>
      <c r="AC1422" s="54">
        <v>7.0679999999999996</v>
      </c>
      <c r="AD1422" s="36">
        <v>50.427399999999999</v>
      </c>
    </row>
    <row r="1423" spans="1:30" s="37" customFormat="1" ht="15.75" customHeight="1" x14ac:dyDescent="0.2">
      <c r="A1423" s="26">
        <v>2935</v>
      </c>
      <c r="B1423" s="27" t="s">
        <v>2485</v>
      </c>
      <c r="C1423" s="27" t="s">
        <v>48</v>
      </c>
      <c r="D1423" s="28">
        <v>0.02</v>
      </c>
      <c r="E1423" s="29">
        <v>3.8</v>
      </c>
      <c r="F1423" s="29">
        <v>1.49</v>
      </c>
      <c r="G1423" s="30" t="s">
        <v>39</v>
      </c>
      <c r="H1423" s="27" t="s">
        <v>3095</v>
      </c>
      <c r="I1423" s="27" t="s">
        <v>49</v>
      </c>
      <c r="J1423" s="27" t="s">
        <v>72</v>
      </c>
      <c r="K1423" s="27" t="s">
        <v>73</v>
      </c>
      <c r="L1423" s="31" t="s">
        <v>1192</v>
      </c>
      <c r="M1423" s="32">
        <v>0.38</v>
      </c>
      <c r="N1423" s="27" t="s">
        <v>33</v>
      </c>
      <c r="O1423" s="27" t="s">
        <v>111</v>
      </c>
      <c r="P1423" s="27" t="s">
        <v>403</v>
      </c>
      <c r="Q1423" s="27" t="s">
        <v>788</v>
      </c>
      <c r="R1423" s="33">
        <v>2215</v>
      </c>
      <c r="S1423" s="34">
        <v>42135</v>
      </c>
      <c r="T1423" s="34">
        <v>42139</v>
      </c>
      <c r="U1423" s="29">
        <v>7.31</v>
      </c>
      <c r="V1423" s="26">
        <v>5</v>
      </c>
      <c r="W1423" s="29">
        <v>20.46</v>
      </c>
      <c r="X1423" s="26">
        <v>87617</v>
      </c>
      <c r="Y1423" s="35">
        <v>227.47</v>
      </c>
      <c r="Z1423" s="1" t="s">
        <v>3014</v>
      </c>
      <c r="AA1423" s="36">
        <v>0.38</v>
      </c>
      <c r="AB1423" s="54">
        <v>12.6852</v>
      </c>
      <c r="AC1423" s="54">
        <v>1.5549600000000001</v>
      </c>
      <c r="AD1423" s="36">
        <v>11.280000000000001</v>
      </c>
    </row>
    <row r="1424" spans="1:30" s="37" customFormat="1" ht="15.75" customHeight="1" x14ac:dyDescent="0.2">
      <c r="A1424" s="26">
        <v>1609</v>
      </c>
      <c r="B1424" s="27" t="s">
        <v>2481</v>
      </c>
      <c r="C1424" s="27" t="s">
        <v>38</v>
      </c>
      <c r="D1424" s="28">
        <v>0.03</v>
      </c>
      <c r="E1424" s="29">
        <v>2.16</v>
      </c>
      <c r="F1424" s="29">
        <v>6.05</v>
      </c>
      <c r="G1424" s="30" t="s">
        <v>39</v>
      </c>
      <c r="H1424" s="27" t="s">
        <v>40</v>
      </c>
      <c r="I1424" s="27" t="s">
        <v>49</v>
      </c>
      <c r="J1424" s="27" t="s">
        <v>72</v>
      </c>
      <c r="K1424" s="27" t="s">
        <v>73</v>
      </c>
      <c r="L1424" s="31" t="s">
        <v>896</v>
      </c>
      <c r="M1424" s="32">
        <v>0.37</v>
      </c>
      <c r="N1424" s="27" t="s">
        <v>33</v>
      </c>
      <c r="O1424" s="27" t="s">
        <v>60</v>
      </c>
      <c r="P1424" s="27" t="s">
        <v>90</v>
      </c>
      <c r="Q1424" s="27" t="s">
        <v>2482</v>
      </c>
      <c r="R1424" s="33">
        <v>95823</v>
      </c>
      <c r="S1424" s="34">
        <v>42135</v>
      </c>
      <c r="T1424" s="34">
        <v>42136</v>
      </c>
      <c r="U1424" s="29">
        <v>-90.585499999999996</v>
      </c>
      <c r="V1424" s="26">
        <v>7</v>
      </c>
      <c r="W1424" s="29">
        <v>17.309999999999999</v>
      </c>
      <c r="X1424" s="26">
        <v>87824</v>
      </c>
      <c r="Y1424" s="35">
        <v>15.66</v>
      </c>
      <c r="Z1424" s="1" t="s">
        <v>3013</v>
      </c>
      <c r="AA1424" s="36">
        <v>0.4536</v>
      </c>
      <c r="AB1424" s="54">
        <v>10.905299999999999</v>
      </c>
      <c r="AC1424" s="54">
        <v>0.9149571428571428</v>
      </c>
      <c r="AD1424" s="36">
        <v>101.39190000000001</v>
      </c>
    </row>
    <row r="1425" spans="1:30" s="37" customFormat="1" ht="15.75" customHeight="1" x14ac:dyDescent="0.2">
      <c r="A1425" s="26">
        <v>2464</v>
      </c>
      <c r="B1425" s="27" t="s">
        <v>655</v>
      </c>
      <c r="C1425" s="27" t="s">
        <v>38</v>
      </c>
      <c r="D1425" s="28">
        <v>0.09</v>
      </c>
      <c r="E1425" s="29">
        <v>1.74</v>
      </c>
      <c r="F1425" s="29">
        <v>4.08</v>
      </c>
      <c r="G1425" s="30" t="s">
        <v>87</v>
      </c>
      <c r="H1425" s="27" t="s">
        <v>40</v>
      </c>
      <c r="I1425" s="27" t="s">
        <v>29</v>
      </c>
      <c r="J1425" s="27" t="s">
        <v>126</v>
      </c>
      <c r="K1425" s="27" t="s">
        <v>43</v>
      </c>
      <c r="L1425" s="31" t="s">
        <v>770</v>
      </c>
      <c r="M1425" s="32">
        <v>0.53</v>
      </c>
      <c r="N1425" s="27" t="s">
        <v>33</v>
      </c>
      <c r="O1425" s="27" t="s">
        <v>34</v>
      </c>
      <c r="P1425" s="27" t="s">
        <v>168</v>
      </c>
      <c r="Q1425" s="27" t="s">
        <v>657</v>
      </c>
      <c r="R1425" s="33">
        <v>71111</v>
      </c>
      <c r="S1425" s="34">
        <v>42135</v>
      </c>
      <c r="T1425" s="34">
        <v>42137</v>
      </c>
      <c r="U1425" s="29">
        <v>608.26199999999994</v>
      </c>
      <c r="V1425" s="26">
        <v>4</v>
      </c>
      <c r="W1425" s="29">
        <v>10.41</v>
      </c>
      <c r="X1425" s="26">
        <v>88713</v>
      </c>
      <c r="Y1425" s="35">
        <v>3.78</v>
      </c>
      <c r="Z1425" s="1" t="s">
        <v>3011</v>
      </c>
      <c r="AA1425" s="36">
        <v>0.62639999999999996</v>
      </c>
      <c r="AB1425" s="54">
        <v>4.8926999999999996</v>
      </c>
      <c r="AC1425" s="54">
        <v>1.3793250000000001</v>
      </c>
      <c r="AD1425" s="36">
        <v>-602.55840000000001</v>
      </c>
    </row>
    <row r="1426" spans="1:30" s="37" customFormat="1" ht="15.75" customHeight="1" x14ac:dyDescent="0.2">
      <c r="A1426" s="26">
        <v>1671</v>
      </c>
      <c r="B1426" s="27" t="s">
        <v>1066</v>
      </c>
      <c r="C1426" s="27" t="s">
        <v>26</v>
      </c>
      <c r="D1426" s="28">
        <v>0.03</v>
      </c>
      <c r="E1426" s="29">
        <v>223.98</v>
      </c>
      <c r="F1426" s="29">
        <v>15.01</v>
      </c>
      <c r="G1426" s="30" t="s">
        <v>39</v>
      </c>
      <c r="H1426" s="27" t="s">
        <v>3095</v>
      </c>
      <c r="I1426" s="27" t="s">
        <v>49</v>
      </c>
      <c r="J1426" s="27" t="s">
        <v>72</v>
      </c>
      <c r="K1426" s="27" t="s">
        <v>73</v>
      </c>
      <c r="L1426" s="31" t="s">
        <v>2486</v>
      </c>
      <c r="M1426" s="32">
        <v>0.38</v>
      </c>
      <c r="N1426" s="27" t="s">
        <v>33</v>
      </c>
      <c r="O1426" s="27" t="s">
        <v>34</v>
      </c>
      <c r="P1426" s="27" t="s">
        <v>242</v>
      </c>
      <c r="Q1426" s="27" t="s">
        <v>1067</v>
      </c>
      <c r="R1426" s="33">
        <v>22015</v>
      </c>
      <c r="S1426" s="34">
        <v>42136</v>
      </c>
      <c r="T1426" s="34">
        <v>42137</v>
      </c>
      <c r="U1426" s="29">
        <v>0.69599999999999995</v>
      </c>
      <c r="V1426" s="26">
        <v>21</v>
      </c>
      <c r="W1426" s="29">
        <v>4881.84</v>
      </c>
      <c r="X1426" s="26">
        <v>86725</v>
      </c>
      <c r="Y1426" s="35">
        <v>223.95</v>
      </c>
      <c r="Z1426" s="1" t="s">
        <v>3011</v>
      </c>
      <c r="AA1426" s="36">
        <v>141.10739999999998</v>
      </c>
      <c r="AB1426" s="54">
        <v>3026.7408</v>
      </c>
      <c r="AC1426" s="54">
        <v>88.338057142857153</v>
      </c>
      <c r="AD1426" s="36">
        <v>4725.0266000000001</v>
      </c>
    </row>
    <row r="1427" spans="1:30" s="37" customFormat="1" ht="15.75" customHeight="1" x14ac:dyDescent="0.2">
      <c r="A1427" s="26">
        <v>14</v>
      </c>
      <c r="B1427" s="27" t="s">
        <v>2487</v>
      </c>
      <c r="C1427" s="27" t="s">
        <v>116</v>
      </c>
      <c r="D1427" s="28">
        <v>0.09</v>
      </c>
      <c r="E1427" s="29">
        <v>78.69</v>
      </c>
      <c r="F1427" s="29">
        <v>19.989999999999998</v>
      </c>
      <c r="G1427" s="30" t="s">
        <v>39</v>
      </c>
      <c r="H1427" s="27" t="s">
        <v>3095</v>
      </c>
      <c r="I1427" s="27" t="s">
        <v>29</v>
      </c>
      <c r="J1427" s="27" t="s">
        <v>126</v>
      </c>
      <c r="K1427" s="27" t="s">
        <v>73</v>
      </c>
      <c r="L1427" s="31" t="s">
        <v>1213</v>
      </c>
      <c r="M1427" s="32">
        <v>0.43</v>
      </c>
      <c r="N1427" s="27" t="s">
        <v>33</v>
      </c>
      <c r="O1427" s="27" t="s">
        <v>53</v>
      </c>
      <c r="P1427" s="27" t="s">
        <v>84</v>
      </c>
      <c r="Q1427" s="27" t="s">
        <v>85</v>
      </c>
      <c r="R1427" s="33">
        <v>55372</v>
      </c>
      <c r="S1427" s="34">
        <v>42136</v>
      </c>
      <c r="T1427" s="34">
        <v>42138</v>
      </c>
      <c r="U1427" s="29">
        <v>803.47050000000002</v>
      </c>
      <c r="V1427" s="26">
        <v>16</v>
      </c>
      <c r="W1427" s="29">
        <v>1164.45</v>
      </c>
      <c r="X1427" s="26">
        <v>86838</v>
      </c>
      <c r="Y1427" s="35">
        <v>78.599999999999994</v>
      </c>
      <c r="Z1427" s="1" t="s">
        <v>3012</v>
      </c>
      <c r="AA1427" s="36">
        <v>113.31359999999999</v>
      </c>
      <c r="AB1427" s="54">
        <v>663.73650000000009</v>
      </c>
      <c r="AC1427" s="54">
        <v>31.294593750000001</v>
      </c>
      <c r="AD1427" s="36">
        <v>227.67590000000007</v>
      </c>
    </row>
    <row r="1428" spans="1:30" s="37" customFormat="1" ht="15.75" customHeight="1" x14ac:dyDescent="0.2">
      <c r="A1428" s="26">
        <v>1267</v>
      </c>
      <c r="B1428" s="27" t="s">
        <v>1075</v>
      </c>
      <c r="C1428" s="27" t="s">
        <v>3094</v>
      </c>
      <c r="D1428" s="28">
        <v>0.04</v>
      </c>
      <c r="E1428" s="29">
        <v>5.98</v>
      </c>
      <c r="F1428" s="29">
        <v>4.38</v>
      </c>
      <c r="G1428" s="30" t="s">
        <v>39</v>
      </c>
      <c r="H1428" s="27" t="s">
        <v>94</v>
      </c>
      <c r="I1428" s="27" t="s">
        <v>41</v>
      </c>
      <c r="J1428" s="27" t="s">
        <v>42</v>
      </c>
      <c r="K1428" s="27" t="s">
        <v>43</v>
      </c>
      <c r="L1428" s="31" t="s">
        <v>2491</v>
      </c>
      <c r="M1428" s="32">
        <v>0.75</v>
      </c>
      <c r="N1428" s="27" t="s">
        <v>33</v>
      </c>
      <c r="O1428" s="27" t="s">
        <v>34</v>
      </c>
      <c r="P1428" s="27" t="s">
        <v>123</v>
      </c>
      <c r="Q1428" s="27" t="s">
        <v>1077</v>
      </c>
      <c r="R1428" s="33">
        <v>33433</v>
      </c>
      <c r="S1428" s="34">
        <v>42136</v>
      </c>
      <c r="T1428" s="34">
        <v>42138</v>
      </c>
      <c r="U1428" s="29">
        <v>-1522.3040000000001</v>
      </c>
      <c r="V1428" s="26">
        <v>11</v>
      </c>
      <c r="W1428" s="29">
        <v>69.75</v>
      </c>
      <c r="X1428" s="26">
        <v>89515</v>
      </c>
      <c r="Y1428" s="35">
        <v>3.1999999999999997</v>
      </c>
      <c r="Z1428" s="1" t="s">
        <v>3011</v>
      </c>
      <c r="AA1428" s="36">
        <v>2.6312000000000002</v>
      </c>
      <c r="AB1428" s="54">
        <v>17.4375</v>
      </c>
      <c r="AC1428" s="54">
        <v>4.7556818181818183</v>
      </c>
      <c r="AD1428" s="36">
        <v>1585.0427999999999</v>
      </c>
    </row>
    <row r="1429" spans="1:30" s="37" customFormat="1" ht="15.75" customHeight="1" x14ac:dyDescent="0.2">
      <c r="A1429" s="26">
        <v>14</v>
      </c>
      <c r="B1429" s="27" t="s">
        <v>2487</v>
      </c>
      <c r="C1429" s="27" t="s">
        <v>116</v>
      </c>
      <c r="D1429" s="28">
        <v>0.08</v>
      </c>
      <c r="E1429" s="29">
        <v>3.28</v>
      </c>
      <c r="F1429" s="29">
        <v>2.31</v>
      </c>
      <c r="G1429" s="30" t="s">
        <v>39</v>
      </c>
      <c r="H1429" s="27" t="s">
        <v>3095</v>
      </c>
      <c r="I1429" s="27" t="s">
        <v>49</v>
      </c>
      <c r="J1429" s="27" t="s">
        <v>50</v>
      </c>
      <c r="K1429" s="27" t="s">
        <v>51</v>
      </c>
      <c r="L1429" s="31" t="s">
        <v>2488</v>
      </c>
      <c r="M1429" s="32">
        <v>0.56000000000000005</v>
      </c>
      <c r="N1429" s="27" t="s">
        <v>33</v>
      </c>
      <c r="O1429" s="27" t="s">
        <v>53</v>
      </c>
      <c r="P1429" s="27" t="s">
        <v>84</v>
      </c>
      <c r="Q1429" s="27" t="s">
        <v>85</v>
      </c>
      <c r="R1429" s="33">
        <v>55372</v>
      </c>
      <c r="S1429" s="34">
        <v>42136</v>
      </c>
      <c r="T1429" s="34">
        <v>42137</v>
      </c>
      <c r="U1429" s="29">
        <v>-24.03</v>
      </c>
      <c r="V1429" s="26">
        <v>7</v>
      </c>
      <c r="W1429" s="29">
        <v>22.23</v>
      </c>
      <c r="X1429" s="26">
        <v>86838</v>
      </c>
      <c r="Y1429" s="35">
        <v>3.23</v>
      </c>
      <c r="Z1429" s="1" t="s">
        <v>3012</v>
      </c>
      <c r="AA1429" s="36">
        <v>1.8367999999999998</v>
      </c>
      <c r="AB1429" s="54">
        <v>9.7811999999999983</v>
      </c>
      <c r="AC1429" s="54">
        <v>1.7784000000000002</v>
      </c>
      <c r="AD1429" s="36">
        <v>42.113200000000006</v>
      </c>
    </row>
    <row r="1430" spans="1:30" s="37" customFormat="1" ht="15.75" customHeight="1" x14ac:dyDescent="0.2">
      <c r="A1430" s="26">
        <v>14</v>
      </c>
      <c r="B1430" s="27" t="s">
        <v>2487</v>
      </c>
      <c r="C1430" s="27" t="s">
        <v>116</v>
      </c>
      <c r="D1430" s="28">
        <v>0.05</v>
      </c>
      <c r="E1430" s="29">
        <v>3.58</v>
      </c>
      <c r="F1430" s="29">
        <v>1.63</v>
      </c>
      <c r="G1430" s="30" t="s">
        <v>39</v>
      </c>
      <c r="H1430" s="27" t="s">
        <v>3095</v>
      </c>
      <c r="I1430" s="27" t="s">
        <v>49</v>
      </c>
      <c r="J1430" s="27" t="s">
        <v>176</v>
      </c>
      <c r="K1430" s="27" t="s">
        <v>51</v>
      </c>
      <c r="L1430" s="31" t="s">
        <v>2221</v>
      </c>
      <c r="M1430" s="32">
        <v>0.36</v>
      </c>
      <c r="N1430" s="27" t="s">
        <v>33</v>
      </c>
      <c r="O1430" s="27" t="s">
        <v>53</v>
      </c>
      <c r="P1430" s="27" t="s">
        <v>84</v>
      </c>
      <c r="Q1430" s="27" t="s">
        <v>85</v>
      </c>
      <c r="R1430" s="33">
        <v>55372</v>
      </c>
      <c r="S1430" s="34">
        <v>42136</v>
      </c>
      <c r="T1430" s="34">
        <v>42137</v>
      </c>
      <c r="U1430" s="29">
        <v>-0.71</v>
      </c>
      <c r="V1430" s="26">
        <v>4</v>
      </c>
      <c r="W1430" s="29">
        <v>14.26</v>
      </c>
      <c r="X1430" s="26">
        <v>86838</v>
      </c>
      <c r="Y1430" s="35">
        <v>3.5300000000000002</v>
      </c>
      <c r="Z1430" s="1" t="s">
        <v>3012</v>
      </c>
      <c r="AA1430" s="36">
        <v>0.71600000000000008</v>
      </c>
      <c r="AB1430" s="54">
        <v>9.1264000000000003</v>
      </c>
      <c r="AC1430" s="54">
        <v>1.2833999999999999</v>
      </c>
      <c r="AD1430" s="36">
        <v>12.623999999999999</v>
      </c>
    </row>
    <row r="1431" spans="1:30" s="37" customFormat="1" ht="15.75" customHeight="1" x14ac:dyDescent="0.2">
      <c r="A1431" s="26">
        <v>14</v>
      </c>
      <c r="B1431" s="27" t="s">
        <v>2487</v>
      </c>
      <c r="C1431" s="27" t="s">
        <v>116</v>
      </c>
      <c r="D1431" s="28">
        <v>0.05</v>
      </c>
      <c r="E1431" s="29">
        <v>3.28</v>
      </c>
      <c r="F1431" s="29">
        <v>4.2</v>
      </c>
      <c r="G1431" s="30" t="s">
        <v>39</v>
      </c>
      <c r="H1431" s="27" t="s">
        <v>3095</v>
      </c>
      <c r="I1431" s="27" t="s">
        <v>49</v>
      </c>
      <c r="J1431" s="27" t="s">
        <v>50</v>
      </c>
      <c r="K1431" s="27" t="s">
        <v>51</v>
      </c>
      <c r="L1431" s="31" t="s">
        <v>2489</v>
      </c>
      <c r="M1431" s="32">
        <v>0.56000000000000005</v>
      </c>
      <c r="N1431" s="27" t="s">
        <v>33</v>
      </c>
      <c r="O1431" s="27" t="s">
        <v>53</v>
      </c>
      <c r="P1431" s="27" t="s">
        <v>84</v>
      </c>
      <c r="Q1431" s="27" t="s">
        <v>85</v>
      </c>
      <c r="R1431" s="33">
        <v>55372</v>
      </c>
      <c r="S1431" s="34">
        <v>42136</v>
      </c>
      <c r="T1431" s="34">
        <v>42137</v>
      </c>
      <c r="U1431" s="29">
        <v>-37.03</v>
      </c>
      <c r="V1431" s="26">
        <v>4</v>
      </c>
      <c r="W1431" s="29">
        <v>13.99</v>
      </c>
      <c r="X1431" s="26">
        <v>86838</v>
      </c>
      <c r="Y1431" s="35">
        <v>9.27</v>
      </c>
      <c r="Z1431" s="1" t="s">
        <v>3012</v>
      </c>
      <c r="AA1431" s="36">
        <v>0.65600000000000003</v>
      </c>
      <c r="AB1431" s="54">
        <v>6.1555999999999997</v>
      </c>
      <c r="AC1431" s="54">
        <v>1.9586000000000001</v>
      </c>
      <c r="AD1431" s="36">
        <v>46.164000000000001</v>
      </c>
    </row>
    <row r="1432" spans="1:30" s="37" customFormat="1" ht="15.75" customHeight="1" x14ac:dyDescent="0.2">
      <c r="A1432" s="26">
        <v>1826</v>
      </c>
      <c r="B1432" s="27" t="s">
        <v>2204</v>
      </c>
      <c r="C1432" s="27" t="s">
        <v>116</v>
      </c>
      <c r="D1432" s="28">
        <v>0</v>
      </c>
      <c r="E1432" s="29">
        <v>9.27</v>
      </c>
      <c r="F1432" s="29">
        <v>4.3899999999999997</v>
      </c>
      <c r="G1432" s="30" t="s">
        <v>39</v>
      </c>
      <c r="H1432" s="27" t="s">
        <v>94</v>
      </c>
      <c r="I1432" s="27" t="s">
        <v>49</v>
      </c>
      <c r="J1432" s="27" t="s">
        <v>88</v>
      </c>
      <c r="K1432" s="27" t="s">
        <v>51</v>
      </c>
      <c r="L1432" s="31" t="s">
        <v>2490</v>
      </c>
      <c r="M1432" s="32">
        <v>0.38</v>
      </c>
      <c r="N1432" s="27" t="s">
        <v>33</v>
      </c>
      <c r="O1432" s="27" t="s">
        <v>53</v>
      </c>
      <c r="P1432" s="27" t="s">
        <v>213</v>
      </c>
      <c r="Q1432" s="27" t="s">
        <v>2206</v>
      </c>
      <c r="R1432" s="33">
        <v>52722</v>
      </c>
      <c r="S1432" s="34">
        <v>42136</v>
      </c>
      <c r="T1432" s="34">
        <v>42138</v>
      </c>
      <c r="U1432" s="29">
        <v>-7.61</v>
      </c>
      <c r="V1432" s="26">
        <v>1</v>
      </c>
      <c r="W1432" s="29">
        <v>10.65</v>
      </c>
      <c r="X1432" s="26">
        <v>86959</v>
      </c>
      <c r="Y1432" s="35">
        <v>5.94</v>
      </c>
      <c r="Z1432" s="1" t="s">
        <v>3012</v>
      </c>
      <c r="AA1432" s="36">
        <v>0</v>
      </c>
      <c r="AB1432" s="54">
        <v>6.6029999999999998</v>
      </c>
      <c r="AC1432" s="54">
        <v>4.0470000000000006</v>
      </c>
      <c r="AD1432" s="36">
        <v>13.870000000000001</v>
      </c>
    </row>
    <row r="1433" spans="1:30" s="37" customFormat="1" ht="15.75" customHeight="1" x14ac:dyDescent="0.2">
      <c r="A1433" s="26">
        <v>3257</v>
      </c>
      <c r="B1433" s="27" t="s">
        <v>2498</v>
      </c>
      <c r="C1433" s="27" t="s">
        <v>116</v>
      </c>
      <c r="D1433" s="28">
        <v>0</v>
      </c>
      <c r="E1433" s="29">
        <v>25.38</v>
      </c>
      <c r="F1433" s="29">
        <v>8.99</v>
      </c>
      <c r="G1433" s="30" t="s">
        <v>39</v>
      </c>
      <c r="H1433" s="27" t="s">
        <v>40</v>
      </c>
      <c r="I1433" s="27" t="s">
        <v>29</v>
      </c>
      <c r="J1433" s="27" t="s">
        <v>126</v>
      </c>
      <c r="K1433" s="27" t="s">
        <v>43</v>
      </c>
      <c r="L1433" s="31" t="s">
        <v>2385</v>
      </c>
      <c r="M1433" s="32">
        <v>0.5</v>
      </c>
      <c r="N1433" s="27" t="s">
        <v>33</v>
      </c>
      <c r="O1433" s="27" t="s">
        <v>60</v>
      </c>
      <c r="P1433" s="27" t="s">
        <v>67</v>
      </c>
      <c r="Q1433" s="27" t="s">
        <v>2499</v>
      </c>
      <c r="R1433" s="33">
        <v>98632</v>
      </c>
      <c r="S1433" s="34">
        <v>42137</v>
      </c>
      <c r="T1433" s="34">
        <v>42139</v>
      </c>
      <c r="U1433" s="29">
        <v>470.33800000000002</v>
      </c>
      <c r="V1433" s="26">
        <v>26</v>
      </c>
      <c r="W1433" s="29">
        <v>700.41</v>
      </c>
      <c r="X1433" s="26">
        <v>88826</v>
      </c>
      <c r="Y1433" s="35">
        <v>2.54</v>
      </c>
      <c r="Z1433" s="1" t="s">
        <v>3013</v>
      </c>
      <c r="AA1433" s="36">
        <v>0</v>
      </c>
      <c r="AB1433" s="54">
        <v>350.20499999999998</v>
      </c>
      <c r="AC1433" s="54">
        <v>13.469423076923077</v>
      </c>
      <c r="AD1433" s="36">
        <v>221.08199999999994</v>
      </c>
    </row>
    <row r="1434" spans="1:30" s="37" customFormat="1" ht="15.75" customHeight="1" x14ac:dyDescent="0.2">
      <c r="A1434" s="26">
        <v>580</v>
      </c>
      <c r="B1434" s="27" t="s">
        <v>2496</v>
      </c>
      <c r="C1434" s="27" t="s">
        <v>116</v>
      </c>
      <c r="D1434" s="28">
        <v>0.01</v>
      </c>
      <c r="E1434" s="29">
        <v>55.99</v>
      </c>
      <c r="F1434" s="29">
        <v>5</v>
      </c>
      <c r="G1434" s="30" t="s">
        <v>39</v>
      </c>
      <c r="H1434" s="27" t="s">
        <v>94</v>
      </c>
      <c r="I1434" s="27" t="s">
        <v>41</v>
      </c>
      <c r="J1434" s="27" t="s">
        <v>135</v>
      </c>
      <c r="K1434" s="27" t="s">
        <v>43</v>
      </c>
      <c r="L1434" s="31" t="s">
        <v>1931</v>
      </c>
      <c r="M1434" s="32">
        <v>0.8</v>
      </c>
      <c r="N1434" s="27" t="s">
        <v>33</v>
      </c>
      <c r="O1434" s="27" t="s">
        <v>111</v>
      </c>
      <c r="P1434" s="27" t="s">
        <v>331</v>
      </c>
      <c r="Q1434" s="27" t="s">
        <v>1204</v>
      </c>
      <c r="R1434" s="33">
        <v>4210</v>
      </c>
      <c r="S1434" s="34">
        <v>42137</v>
      </c>
      <c r="T1434" s="34">
        <v>42138</v>
      </c>
      <c r="U1434" s="29">
        <v>-57.540999999999997</v>
      </c>
      <c r="V1434" s="26">
        <v>12</v>
      </c>
      <c r="W1434" s="29">
        <v>578.24</v>
      </c>
      <c r="X1434" s="26">
        <v>88644</v>
      </c>
      <c r="Y1434" s="35">
        <v>162.9</v>
      </c>
      <c r="Z1434" s="1" t="s">
        <v>3014</v>
      </c>
      <c r="AA1434" s="36">
        <v>6.7188000000000008</v>
      </c>
      <c r="AB1434" s="54">
        <v>115.64799999999998</v>
      </c>
      <c r="AC1434" s="54">
        <v>38.549333333333337</v>
      </c>
      <c r="AD1434" s="36">
        <v>624.06219999999996</v>
      </c>
    </row>
    <row r="1435" spans="1:30" s="37" customFormat="1" ht="15.75" customHeight="1" x14ac:dyDescent="0.2">
      <c r="A1435" s="26">
        <v>578</v>
      </c>
      <c r="B1435" s="27" t="s">
        <v>2492</v>
      </c>
      <c r="C1435" s="27" t="s">
        <v>116</v>
      </c>
      <c r="D1435" s="28">
        <v>0.03</v>
      </c>
      <c r="E1435" s="29">
        <v>162.93</v>
      </c>
      <c r="F1435" s="29">
        <v>19.989999999999998</v>
      </c>
      <c r="G1435" s="30" t="s">
        <v>39</v>
      </c>
      <c r="H1435" s="27" t="s">
        <v>94</v>
      </c>
      <c r="I1435" s="27" t="s">
        <v>49</v>
      </c>
      <c r="J1435" s="27" t="s">
        <v>345</v>
      </c>
      <c r="K1435" s="27" t="s">
        <v>73</v>
      </c>
      <c r="L1435" s="31" t="s">
        <v>2493</v>
      </c>
      <c r="M1435" s="32">
        <v>0.39</v>
      </c>
      <c r="N1435" s="27" t="s">
        <v>33</v>
      </c>
      <c r="O1435" s="27" t="s">
        <v>111</v>
      </c>
      <c r="P1435" s="27" t="s">
        <v>248</v>
      </c>
      <c r="Q1435" s="27" t="s">
        <v>2494</v>
      </c>
      <c r="R1435" s="33">
        <v>6770</v>
      </c>
      <c r="S1435" s="34">
        <v>42137</v>
      </c>
      <c r="T1435" s="34">
        <v>42138</v>
      </c>
      <c r="U1435" s="29">
        <v>293.14</v>
      </c>
      <c r="V1435" s="26">
        <v>3</v>
      </c>
      <c r="W1435" s="29">
        <v>515.88</v>
      </c>
      <c r="X1435" s="26">
        <v>88644</v>
      </c>
      <c r="Y1435" s="35">
        <v>11.57</v>
      </c>
      <c r="Z1435" s="1" t="s">
        <v>3014</v>
      </c>
      <c r="AA1435" s="36">
        <v>14.6637</v>
      </c>
      <c r="AB1435" s="54">
        <v>314.68680000000001</v>
      </c>
      <c r="AC1435" s="54">
        <v>67.064400000000006</v>
      </c>
      <c r="AD1435" s="36">
        <v>188.08629999999999</v>
      </c>
    </row>
    <row r="1436" spans="1:30" s="37" customFormat="1" ht="15.75" customHeight="1" x14ac:dyDescent="0.2">
      <c r="A1436" s="26">
        <v>1085</v>
      </c>
      <c r="B1436" s="27" t="s">
        <v>231</v>
      </c>
      <c r="C1436" s="27" t="s">
        <v>3094</v>
      </c>
      <c r="D1436" s="28">
        <v>0.06</v>
      </c>
      <c r="E1436" s="29">
        <v>30.42</v>
      </c>
      <c r="F1436" s="29">
        <v>8.65</v>
      </c>
      <c r="G1436" s="30" t="s">
        <v>39</v>
      </c>
      <c r="H1436" s="27" t="s">
        <v>94</v>
      </c>
      <c r="I1436" s="27" t="s">
        <v>41</v>
      </c>
      <c r="J1436" s="27" t="s">
        <v>42</v>
      </c>
      <c r="K1436" s="27" t="s">
        <v>73</v>
      </c>
      <c r="L1436" s="31" t="s">
        <v>384</v>
      </c>
      <c r="M1436" s="32">
        <v>0.74</v>
      </c>
      <c r="N1436" s="27" t="s">
        <v>33</v>
      </c>
      <c r="O1436" s="27" t="s">
        <v>111</v>
      </c>
      <c r="P1436" s="27" t="s">
        <v>112</v>
      </c>
      <c r="Q1436" s="27" t="s">
        <v>233</v>
      </c>
      <c r="R1436" s="33">
        <v>11729</v>
      </c>
      <c r="S1436" s="34">
        <v>42137</v>
      </c>
      <c r="T1436" s="34">
        <v>42139</v>
      </c>
      <c r="U1436" s="29">
        <v>-159.25</v>
      </c>
      <c r="V1436" s="26">
        <v>10</v>
      </c>
      <c r="W1436" s="29">
        <v>309.05</v>
      </c>
      <c r="X1436" s="26">
        <v>86124</v>
      </c>
      <c r="Y1436" s="35">
        <v>55.980000000000004</v>
      </c>
      <c r="Z1436" s="1" t="s">
        <v>3014</v>
      </c>
      <c r="AA1436" s="36">
        <v>18.251999999999999</v>
      </c>
      <c r="AB1436" s="54">
        <v>80.353000000000009</v>
      </c>
      <c r="AC1436" s="54">
        <v>22.869700000000002</v>
      </c>
      <c r="AD1436" s="36">
        <v>441.39800000000002</v>
      </c>
    </row>
    <row r="1437" spans="1:30" s="37" customFormat="1" ht="15.75" customHeight="1" x14ac:dyDescent="0.2">
      <c r="A1437" s="26">
        <v>1085</v>
      </c>
      <c r="B1437" s="27" t="s">
        <v>231</v>
      </c>
      <c r="C1437" s="27" t="s">
        <v>3094</v>
      </c>
      <c r="D1437" s="28">
        <v>0.02</v>
      </c>
      <c r="E1437" s="29">
        <v>37.94</v>
      </c>
      <c r="F1437" s="29">
        <v>5.08</v>
      </c>
      <c r="G1437" s="30" t="s">
        <v>39</v>
      </c>
      <c r="H1437" s="27" t="s">
        <v>94</v>
      </c>
      <c r="I1437" s="27" t="s">
        <v>49</v>
      </c>
      <c r="J1437" s="27" t="s">
        <v>88</v>
      </c>
      <c r="K1437" s="27" t="s">
        <v>51</v>
      </c>
      <c r="L1437" s="31" t="s">
        <v>1113</v>
      </c>
      <c r="M1437" s="32">
        <v>0.38</v>
      </c>
      <c r="N1437" s="27" t="s">
        <v>33</v>
      </c>
      <c r="O1437" s="27" t="s">
        <v>111</v>
      </c>
      <c r="P1437" s="27" t="s">
        <v>112</v>
      </c>
      <c r="Q1437" s="27" t="s">
        <v>233</v>
      </c>
      <c r="R1437" s="33">
        <v>11729</v>
      </c>
      <c r="S1437" s="34">
        <v>42137</v>
      </c>
      <c r="T1437" s="34">
        <v>42138</v>
      </c>
      <c r="U1437" s="29">
        <v>206.517</v>
      </c>
      <c r="V1437" s="26">
        <v>8</v>
      </c>
      <c r="W1437" s="29">
        <v>299.3</v>
      </c>
      <c r="X1437" s="26">
        <v>86124</v>
      </c>
      <c r="Y1437" s="35">
        <v>13.84</v>
      </c>
      <c r="Z1437" s="1" t="s">
        <v>3014</v>
      </c>
      <c r="AA1437" s="36">
        <v>6.0703999999999994</v>
      </c>
      <c r="AB1437" s="54">
        <v>185.566</v>
      </c>
      <c r="AC1437" s="54">
        <v>14.216750000000001</v>
      </c>
      <c r="AD1437" s="36">
        <v>81.632599999999996</v>
      </c>
    </row>
    <row r="1438" spans="1:30" s="37" customFormat="1" ht="15.75" customHeight="1" x14ac:dyDescent="0.2">
      <c r="A1438" s="26">
        <v>585</v>
      </c>
      <c r="B1438" s="27" t="s">
        <v>2497</v>
      </c>
      <c r="C1438" s="27" t="s">
        <v>116</v>
      </c>
      <c r="D1438" s="28">
        <v>0.06</v>
      </c>
      <c r="E1438" s="29">
        <v>13.9</v>
      </c>
      <c r="F1438" s="29">
        <v>7.59</v>
      </c>
      <c r="G1438" s="30" t="s">
        <v>39</v>
      </c>
      <c r="H1438" s="27" t="s">
        <v>94</v>
      </c>
      <c r="I1438" s="27" t="s">
        <v>49</v>
      </c>
      <c r="J1438" s="27" t="s">
        <v>568</v>
      </c>
      <c r="K1438" s="27" t="s">
        <v>43</v>
      </c>
      <c r="L1438" s="31" t="s">
        <v>2464</v>
      </c>
      <c r="M1438" s="32">
        <v>0.56000000000000005</v>
      </c>
      <c r="N1438" s="27" t="s">
        <v>33</v>
      </c>
      <c r="O1438" s="27" t="s">
        <v>111</v>
      </c>
      <c r="P1438" s="27" t="s">
        <v>1356</v>
      </c>
      <c r="Q1438" s="27" t="s">
        <v>453</v>
      </c>
      <c r="R1438" s="33">
        <v>3301</v>
      </c>
      <c r="S1438" s="34">
        <v>42137</v>
      </c>
      <c r="T1438" s="34">
        <v>42138</v>
      </c>
      <c r="U1438" s="29">
        <v>-67.59</v>
      </c>
      <c r="V1438" s="26">
        <v>12</v>
      </c>
      <c r="W1438" s="29">
        <v>170.45</v>
      </c>
      <c r="X1438" s="26">
        <v>88644</v>
      </c>
      <c r="Y1438" s="35">
        <v>25.38</v>
      </c>
      <c r="Z1438" s="1" t="s">
        <v>3014</v>
      </c>
      <c r="AA1438" s="36">
        <v>10.007999999999999</v>
      </c>
      <c r="AB1438" s="54">
        <v>74.99799999999999</v>
      </c>
      <c r="AC1438" s="54">
        <v>7.9543333333333335</v>
      </c>
      <c r="AD1438" s="36">
        <v>220.44200000000001</v>
      </c>
    </row>
    <row r="1439" spans="1:30" s="37" customFormat="1" ht="15.75" customHeight="1" x14ac:dyDescent="0.2">
      <c r="A1439" s="26">
        <v>1389</v>
      </c>
      <c r="B1439" s="27" t="s">
        <v>769</v>
      </c>
      <c r="C1439" s="27" t="s">
        <v>38</v>
      </c>
      <c r="D1439" s="28">
        <v>0.08</v>
      </c>
      <c r="E1439" s="29">
        <v>2.62</v>
      </c>
      <c r="F1439" s="29">
        <v>0.8</v>
      </c>
      <c r="G1439" s="30" t="s">
        <v>87</v>
      </c>
      <c r="H1439" s="27" t="s">
        <v>3095</v>
      </c>
      <c r="I1439" s="27" t="s">
        <v>49</v>
      </c>
      <c r="J1439" s="27" t="s">
        <v>176</v>
      </c>
      <c r="K1439" s="27" t="s">
        <v>51</v>
      </c>
      <c r="L1439" s="31" t="s">
        <v>2124</v>
      </c>
      <c r="M1439" s="32">
        <v>0.39</v>
      </c>
      <c r="N1439" s="27" t="s">
        <v>33</v>
      </c>
      <c r="O1439" s="27" t="s">
        <v>60</v>
      </c>
      <c r="P1439" s="27" t="s">
        <v>90</v>
      </c>
      <c r="Q1439" s="27" t="s">
        <v>771</v>
      </c>
      <c r="R1439" s="33">
        <v>94025</v>
      </c>
      <c r="S1439" s="34">
        <v>42137</v>
      </c>
      <c r="T1439" s="34">
        <v>42139</v>
      </c>
      <c r="U1439" s="29">
        <v>21.769500000000001</v>
      </c>
      <c r="V1439" s="26">
        <v>12</v>
      </c>
      <c r="W1439" s="29">
        <v>31.55</v>
      </c>
      <c r="X1439" s="26">
        <v>88728</v>
      </c>
      <c r="Y1439" s="35">
        <v>30.360000000000003</v>
      </c>
      <c r="Z1439" s="1" t="s">
        <v>3013</v>
      </c>
      <c r="AA1439" s="36">
        <v>2.5152000000000001</v>
      </c>
      <c r="AB1439" s="54">
        <v>19.2455</v>
      </c>
      <c r="AC1439" s="54">
        <v>1.0253750000000001</v>
      </c>
      <c r="AD1439" s="36">
        <v>6.4652999999999992</v>
      </c>
    </row>
    <row r="1440" spans="1:30" s="37" customFormat="1" ht="15.75" customHeight="1" x14ac:dyDescent="0.2">
      <c r="A1440" s="26">
        <v>579</v>
      </c>
      <c r="B1440" s="27" t="s">
        <v>2495</v>
      </c>
      <c r="C1440" s="27" t="s">
        <v>116</v>
      </c>
      <c r="D1440" s="28">
        <v>0.01</v>
      </c>
      <c r="E1440" s="29">
        <v>11.58</v>
      </c>
      <c r="F1440" s="29">
        <v>5.72</v>
      </c>
      <c r="G1440" s="30" t="s">
        <v>39</v>
      </c>
      <c r="H1440" s="27" t="s">
        <v>94</v>
      </c>
      <c r="I1440" s="27" t="s">
        <v>49</v>
      </c>
      <c r="J1440" s="27" t="s">
        <v>345</v>
      </c>
      <c r="K1440" s="27" t="s">
        <v>73</v>
      </c>
      <c r="L1440" s="31" t="s">
        <v>624</v>
      </c>
      <c r="M1440" s="32">
        <v>0.35</v>
      </c>
      <c r="N1440" s="27" t="s">
        <v>33</v>
      </c>
      <c r="O1440" s="27" t="s">
        <v>111</v>
      </c>
      <c r="P1440" s="27" t="s">
        <v>248</v>
      </c>
      <c r="Q1440" s="27" t="s">
        <v>1748</v>
      </c>
      <c r="R1440" s="33">
        <v>6478</v>
      </c>
      <c r="S1440" s="34">
        <v>42137</v>
      </c>
      <c r="T1440" s="34">
        <v>42139</v>
      </c>
      <c r="U1440" s="29">
        <v>-6.61</v>
      </c>
      <c r="V1440" s="26">
        <v>2</v>
      </c>
      <c r="W1440" s="29">
        <v>25.06</v>
      </c>
      <c r="X1440" s="26">
        <v>88644</v>
      </c>
      <c r="Y1440" s="35">
        <v>37.919999999999995</v>
      </c>
      <c r="Z1440" s="1" t="s">
        <v>3014</v>
      </c>
      <c r="AA1440" s="36">
        <v>0.2316</v>
      </c>
      <c r="AB1440" s="54">
        <v>16.289000000000001</v>
      </c>
      <c r="AC1440" s="54">
        <v>4.3854999999999995</v>
      </c>
      <c r="AD1440" s="36">
        <v>25.718399999999999</v>
      </c>
    </row>
    <row r="1441" spans="1:30" s="37" customFormat="1" ht="15.75" customHeight="1" x14ac:dyDescent="0.2">
      <c r="A1441" s="26">
        <v>497</v>
      </c>
      <c r="B1441" s="27" t="s">
        <v>2500</v>
      </c>
      <c r="C1441" s="27" t="s">
        <v>26</v>
      </c>
      <c r="D1441" s="28">
        <v>7.0000000000000007E-2</v>
      </c>
      <c r="E1441" s="29">
        <v>152.47999999999999</v>
      </c>
      <c r="F1441" s="29">
        <v>6.5</v>
      </c>
      <c r="G1441" s="30" t="s">
        <v>39</v>
      </c>
      <c r="H1441" s="27" t="s">
        <v>3095</v>
      </c>
      <c r="I1441" s="27" t="s">
        <v>41</v>
      </c>
      <c r="J1441" s="27" t="s">
        <v>42</v>
      </c>
      <c r="K1441" s="27" t="s">
        <v>73</v>
      </c>
      <c r="L1441" s="31" t="s">
        <v>1793</v>
      </c>
      <c r="M1441" s="32">
        <v>0.74</v>
      </c>
      <c r="N1441" s="27" t="s">
        <v>33</v>
      </c>
      <c r="O1441" s="27" t="s">
        <v>34</v>
      </c>
      <c r="P1441" s="27" t="s">
        <v>400</v>
      </c>
      <c r="Q1441" s="27" t="s">
        <v>552</v>
      </c>
      <c r="R1441" s="33">
        <v>37130</v>
      </c>
      <c r="S1441" s="34">
        <v>42138</v>
      </c>
      <c r="T1441" s="34">
        <v>42140</v>
      </c>
      <c r="U1441" s="29">
        <v>171.83879999999999</v>
      </c>
      <c r="V1441" s="26">
        <v>35</v>
      </c>
      <c r="W1441" s="29">
        <v>5062.49</v>
      </c>
      <c r="X1441" s="26">
        <v>90706</v>
      </c>
      <c r="Y1441" s="35">
        <v>95.97999999999999</v>
      </c>
      <c r="Z1441" s="1" t="s">
        <v>3011</v>
      </c>
      <c r="AA1441" s="36">
        <v>373.57600000000002</v>
      </c>
      <c r="AB1441" s="54">
        <v>1316.2474</v>
      </c>
      <c r="AC1441" s="54">
        <v>107.03550285714284</v>
      </c>
      <c r="AD1441" s="36">
        <v>4510.5751999999993</v>
      </c>
    </row>
    <row r="1442" spans="1:30" s="37" customFormat="1" ht="15.75" customHeight="1" x14ac:dyDescent="0.2">
      <c r="A1442" s="26">
        <v>156</v>
      </c>
      <c r="B1442" s="27" t="s">
        <v>772</v>
      </c>
      <c r="C1442" s="27" t="s">
        <v>26</v>
      </c>
      <c r="D1442" s="28">
        <v>0.01</v>
      </c>
      <c r="E1442" s="29">
        <v>95.99</v>
      </c>
      <c r="F1442" s="29">
        <v>4.9000000000000004</v>
      </c>
      <c r="G1442" s="30" t="s">
        <v>39</v>
      </c>
      <c r="H1442" s="27" t="s">
        <v>94</v>
      </c>
      <c r="I1442" s="27" t="s">
        <v>41</v>
      </c>
      <c r="J1442" s="27" t="s">
        <v>135</v>
      </c>
      <c r="K1442" s="27" t="s">
        <v>73</v>
      </c>
      <c r="L1442" s="31" t="s">
        <v>768</v>
      </c>
      <c r="M1442" s="32">
        <v>0.56000000000000005</v>
      </c>
      <c r="N1442" s="27" t="s">
        <v>33</v>
      </c>
      <c r="O1442" s="27" t="s">
        <v>60</v>
      </c>
      <c r="P1442" s="27" t="s">
        <v>61</v>
      </c>
      <c r="Q1442" s="27" t="s">
        <v>62</v>
      </c>
      <c r="R1442" s="33">
        <v>80525</v>
      </c>
      <c r="S1442" s="34">
        <v>42138</v>
      </c>
      <c r="T1442" s="34">
        <v>42139</v>
      </c>
      <c r="U1442" s="29">
        <v>713.88</v>
      </c>
      <c r="V1442" s="26">
        <v>13</v>
      </c>
      <c r="W1442" s="29">
        <v>1050.08</v>
      </c>
      <c r="X1442" s="26">
        <v>87671</v>
      </c>
      <c r="Y1442" s="35">
        <v>152.41</v>
      </c>
      <c r="Z1442" s="1" t="s">
        <v>3013</v>
      </c>
      <c r="AA1442" s="36">
        <v>12.4787</v>
      </c>
      <c r="AB1442" s="54">
        <v>462.03519999999992</v>
      </c>
      <c r="AC1442" s="54">
        <v>45.234215384615389</v>
      </c>
      <c r="AD1442" s="36">
        <v>318.82129999999995</v>
      </c>
    </row>
    <row r="1443" spans="1:30" s="37" customFormat="1" ht="15.75" customHeight="1" x14ac:dyDescent="0.2">
      <c r="A1443" s="26">
        <v>1069</v>
      </c>
      <c r="B1443" s="27" t="s">
        <v>2511</v>
      </c>
      <c r="C1443" s="27" t="s">
        <v>116</v>
      </c>
      <c r="D1443" s="28">
        <v>0.02</v>
      </c>
      <c r="E1443" s="29">
        <v>15.94</v>
      </c>
      <c r="F1443" s="29">
        <v>5.45</v>
      </c>
      <c r="G1443" s="30" t="s">
        <v>39</v>
      </c>
      <c r="H1443" s="27" t="s">
        <v>71</v>
      </c>
      <c r="I1443" s="27" t="s">
        <v>49</v>
      </c>
      <c r="J1443" s="27" t="s">
        <v>50</v>
      </c>
      <c r="K1443" s="27" t="s">
        <v>43</v>
      </c>
      <c r="L1443" s="31" t="s">
        <v>2512</v>
      </c>
      <c r="M1443" s="32">
        <v>0.55000000000000004</v>
      </c>
      <c r="N1443" s="27" t="s">
        <v>33</v>
      </c>
      <c r="O1443" s="27" t="s">
        <v>53</v>
      </c>
      <c r="P1443" s="27" t="s">
        <v>103</v>
      </c>
      <c r="Q1443" s="27" t="s">
        <v>2513</v>
      </c>
      <c r="R1443" s="33">
        <v>62901</v>
      </c>
      <c r="S1443" s="34">
        <v>42138</v>
      </c>
      <c r="T1443" s="34">
        <v>42139</v>
      </c>
      <c r="U1443" s="29">
        <v>139.61199999999999</v>
      </c>
      <c r="V1443" s="26">
        <v>41</v>
      </c>
      <c r="W1443" s="29">
        <v>664.34</v>
      </c>
      <c r="X1443" s="26">
        <v>87110</v>
      </c>
      <c r="Y1443" s="35">
        <v>5.28</v>
      </c>
      <c r="Z1443" s="1" t="s">
        <v>3012</v>
      </c>
      <c r="AA1443" s="36">
        <v>13.070799999999998</v>
      </c>
      <c r="AB1443" s="54">
        <v>298.95299999999997</v>
      </c>
      <c r="AC1443" s="54">
        <v>8.9118780487804887</v>
      </c>
      <c r="AD1443" s="36">
        <v>506.20720000000006</v>
      </c>
    </row>
    <row r="1444" spans="1:30" s="37" customFormat="1" ht="15.75" customHeight="1" x14ac:dyDescent="0.2">
      <c r="A1444" s="26">
        <v>540</v>
      </c>
      <c r="B1444" s="27" t="s">
        <v>2508</v>
      </c>
      <c r="C1444" s="27" t="s">
        <v>116</v>
      </c>
      <c r="D1444" s="28">
        <v>0.08</v>
      </c>
      <c r="E1444" s="29">
        <v>20.99</v>
      </c>
      <c r="F1444" s="29">
        <v>1.25</v>
      </c>
      <c r="G1444" s="30" t="s">
        <v>39</v>
      </c>
      <c r="H1444" s="27" t="s">
        <v>3095</v>
      </c>
      <c r="I1444" s="27" t="s">
        <v>41</v>
      </c>
      <c r="J1444" s="27" t="s">
        <v>135</v>
      </c>
      <c r="K1444" s="27" t="s">
        <v>43</v>
      </c>
      <c r="L1444" s="31" t="s">
        <v>2509</v>
      </c>
      <c r="M1444" s="32">
        <v>0.83</v>
      </c>
      <c r="N1444" s="27" t="s">
        <v>33</v>
      </c>
      <c r="O1444" s="27" t="s">
        <v>53</v>
      </c>
      <c r="P1444" s="27" t="s">
        <v>103</v>
      </c>
      <c r="Q1444" s="27" t="s">
        <v>2510</v>
      </c>
      <c r="R1444" s="33">
        <v>60061</v>
      </c>
      <c r="S1444" s="34">
        <v>42138</v>
      </c>
      <c r="T1444" s="34">
        <v>42140</v>
      </c>
      <c r="U1444" s="29">
        <v>15.3714</v>
      </c>
      <c r="V1444" s="26">
        <v>28</v>
      </c>
      <c r="W1444" s="29">
        <v>469.69</v>
      </c>
      <c r="X1444" s="26">
        <v>91174</v>
      </c>
      <c r="Y1444" s="35">
        <v>4.8099999999999996</v>
      </c>
      <c r="Z1444" s="1" t="s">
        <v>3012</v>
      </c>
      <c r="AA1444" s="36">
        <v>47.017599999999995</v>
      </c>
      <c r="AB1444" s="54">
        <v>79.847300000000018</v>
      </c>
      <c r="AC1444" s="54">
        <v>13.922953571428572</v>
      </c>
      <c r="AD1444" s="36">
        <v>406.05099999999999</v>
      </c>
    </row>
    <row r="1445" spans="1:30" s="37" customFormat="1" ht="15.75" customHeight="1" x14ac:dyDescent="0.2">
      <c r="A1445" s="26">
        <v>539</v>
      </c>
      <c r="B1445" s="27" t="s">
        <v>2505</v>
      </c>
      <c r="C1445" s="27" t="s">
        <v>116</v>
      </c>
      <c r="D1445" s="28">
        <v>0.05</v>
      </c>
      <c r="E1445" s="29">
        <v>59.78</v>
      </c>
      <c r="F1445" s="29">
        <v>10.29</v>
      </c>
      <c r="G1445" s="30" t="s">
        <v>39</v>
      </c>
      <c r="H1445" s="27" t="s">
        <v>3095</v>
      </c>
      <c r="I1445" s="27" t="s">
        <v>49</v>
      </c>
      <c r="J1445" s="27" t="s">
        <v>72</v>
      </c>
      <c r="K1445" s="27" t="s">
        <v>73</v>
      </c>
      <c r="L1445" s="31" t="s">
        <v>2506</v>
      </c>
      <c r="M1445" s="32">
        <v>0.39</v>
      </c>
      <c r="N1445" s="27" t="s">
        <v>33</v>
      </c>
      <c r="O1445" s="27" t="s">
        <v>53</v>
      </c>
      <c r="P1445" s="27" t="s">
        <v>103</v>
      </c>
      <c r="Q1445" s="27" t="s">
        <v>2507</v>
      </c>
      <c r="R1445" s="33">
        <v>61801</v>
      </c>
      <c r="S1445" s="34">
        <v>42138</v>
      </c>
      <c r="T1445" s="34">
        <v>42139</v>
      </c>
      <c r="U1445" s="29">
        <v>159.52969999999999</v>
      </c>
      <c r="V1445" s="26">
        <v>7</v>
      </c>
      <c r="W1445" s="29">
        <v>414.49</v>
      </c>
      <c r="X1445" s="26">
        <v>91174</v>
      </c>
      <c r="Y1445" s="35">
        <v>6.6099999999999994</v>
      </c>
      <c r="Z1445" s="1" t="s">
        <v>3012</v>
      </c>
      <c r="AA1445" s="36">
        <v>20.923000000000002</v>
      </c>
      <c r="AB1445" s="54">
        <v>252.8389</v>
      </c>
      <c r="AC1445" s="54">
        <v>23.093014285714286</v>
      </c>
      <c r="AD1445" s="36">
        <v>223.74730000000002</v>
      </c>
    </row>
    <row r="1446" spans="1:30" s="37" customFormat="1" ht="15.75" customHeight="1" x14ac:dyDescent="0.2">
      <c r="A1446" s="26">
        <v>353</v>
      </c>
      <c r="B1446" s="27" t="s">
        <v>2502</v>
      </c>
      <c r="C1446" s="27" t="s">
        <v>48</v>
      </c>
      <c r="D1446" s="28">
        <v>7.0000000000000007E-2</v>
      </c>
      <c r="E1446" s="29">
        <v>6.68</v>
      </c>
      <c r="F1446" s="29">
        <v>6.92</v>
      </c>
      <c r="G1446" s="30" t="s">
        <v>39</v>
      </c>
      <c r="H1446" s="27" t="s">
        <v>71</v>
      </c>
      <c r="I1446" s="27" t="s">
        <v>49</v>
      </c>
      <c r="J1446" s="27" t="s">
        <v>88</v>
      </c>
      <c r="K1446" s="27" t="s">
        <v>73</v>
      </c>
      <c r="L1446" s="31" t="s">
        <v>2504</v>
      </c>
      <c r="M1446" s="32">
        <v>0.37</v>
      </c>
      <c r="N1446" s="27" t="s">
        <v>33</v>
      </c>
      <c r="O1446" s="27" t="s">
        <v>60</v>
      </c>
      <c r="P1446" s="27" t="s">
        <v>588</v>
      </c>
      <c r="Q1446" s="27" t="s">
        <v>2503</v>
      </c>
      <c r="R1446" s="33">
        <v>85301</v>
      </c>
      <c r="S1446" s="34">
        <v>42138</v>
      </c>
      <c r="T1446" s="34">
        <v>42145</v>
      </c>
      <c r="U1446" s="29">
        <v>-141.12</v>
      </c>
      <c r="V1446" s="26">
        <v>16</v>
      </c>
      <c r="W1446" s="29">
        <v>104.84</v>
      </c>
      <c r="X1446" s="26">
        <v>89647</v>
      </c>
      <c r="Y1446" s="35">
        <v>59.730000000000004</v>
      </c>
      <c r="Z1446" s="1" t="s">
        <v>3013</v>
      </c>
      <c r="AA1446" s="36">
        <v>7.4816000000000003</v>
      </c>
      <c r="AB1446" s="54">
        <v>66.049199999999999</v>
      </c>
      <c r="AC1446" s="54">
        <v>2.4244249999999998</v>
      </c>
      <c r="AD1446" s="36">
        <v>231.55840000000001</v>
      </c>
    </row>
    <row r="1447" spans="1:30" s="37" customFormat="1" ht="15.75" customHeight="1" x14ac:dyDescent="0.2">
      <c r="A1447" s="26">
        <v>910</v>
      </c>
      <c r="B1447" s="27" t="s">
        <v>2501</v>
      </c>
      <c r="C1447" s="27" t="s">
        <v>26</v>
      </c>
      <c r="D1447" s="28">
        <v>0</v>
      </c>
      <c r="E1447" s="29">
        <v>5.28</v>
      </c>
      <c r="F1447" s="29">
        <v>5.61</v>
      </c>
      <c r="G1447" s="30" t="s">
        <v>39</v>
      </c>
      <c r="H1447" s="27" t="s">
        <v>94</v>
      </c>
      <c r="I1447" s="27" t="s">
        <v>49</v>
      </c>
      <c r="J1447" s="27" t="s">
        <v>88</v>
      </c>
      <c r="K1447" s="27" t="s">
        <v>73</v>
      </c>
      <c r="L1447" s="31" t="s">
        <v>2275</v>
      </c>
      <c r="M1447" s="32">
        <v>0.4</v>
      </c>
      <c r="N1447" s="27" t="s">
        <v>33</v>
      </c>
      <c r="O1447" s="27" t="s">
        <v>34</v>
      </c>
      <c r="P1447" s="27" t="s">
        <v>45</v>
      </c>
      <c r="Q1447" s="27" t="s">
        <v>1315</v>
      </c>
      <c r="R1447" s="33">
        <v>71854</v>
      </c>
      <c r="S1447" s="34">
        <v>42138</v>
      </c>
      <c r="T1447" s="34">
        <v>42138</v>
      </c>
      <c r="U1447" s="29">
        <v>-149.21199999999999</v>
      </c>
      <c r="V1447" s="26">
        <v>15</v>
      </c>
      <c r="W1447" s="29">
        <v>85.26</v>
      </c>
      <c r="X1447" s="26">
        <v>90187</v>
      </c>
      <c r="Y1447" s="35">
        <v>20.91</v>
      </c>
      <c r="Z1447" s="1" t="s">
        <v>3011</v>
      </c>
      <c r="AA1447" s="36">
        <v>0</v>
      </c>
      <c r="AB1447" s="54">
        <v>51.155999999999999</v>
      </c>
      <c r="AC1447" s="54">
        <v>2.2736000000000001</v>
      </c>
      <c r="AD1447" s="36">
        <v>228.86199999999997</v>
      </c>
    </row>
    <row r="1448" spans="1:30" s="37" customFormat="1" ht="15.75" customHeight="1" x14ac:dyDescent="0.2">
      <c r="A1448" s="26">
        <v>353</v>
      </c>
      <c r="B1448" s="27" t="s">
        <v>2502</v>
      </c>
      <c r="C1448" s="27" t="s">
        <v>48</v>
      </c>
      <c r="D1448" s="28">
        <v>0.08</v>
      </c>
      <c r="E1448" s="29">
        <v>4.8899999999999997</v>
      </c>
      <c r="F1448" s="29">
        <v>4.93</v>
      </c>
      <c r="G1448" s="30" t="s">
        <v>87</v>
      </c>
      <c r="H1448" s="27" t="s">
        <v>71</v>
      </c>
      <c r="I1448" s="27" t="s">
        <v>41</v>
      </c>
      <c r="J1448" s="27" t="s">
        <v>42</v>
      </c>
      <c r="K1448" s="27" t="s">
        <v>43</v>
      </c>
      <c r="L1448" s="31" t="s">
        <v>1023</v>
      </c>
      <c r="M1448" s="32">
        <v>0.66</v>
      </c>
      <c r="N1448" s="27" t="s">
        <v>33</v>
      </c>
      <c r="O1448" s="27" t="s">
        <v>60</v>
      </c>
      <c r="P1448" s="27" t="s">
        <v>588</v>
      </c>
      <c r="Q1448" s="27" t="s">
        <v>2503</v>
      </c>
      <c r="R1448" s="33">
        <v>85301</v>
      </c>
      <c r="S1448" s="34">
        <v>42138</v>
      </c>
      <c r="T1448" s="34">
        <v>42138</v>
      </c>
      <c r="U1448" s="29">
        <v>-165.45</v>
      </c>
      <c r="V1448" s="26">
        <v>17</v>
      </c>
      <c r="W1448" s="29">
        <v>84.76</v>
      </c>
      <c r="X1448" s="26">
        <v>89647</v>
      </c>
      <c r="Y1448" s="35">
        <v>15.92</v>
      </c>
      <c r="Z1448" s="1" t="s">
        <v>3013</v>
      </c>
      <c r="AA1448" s="36">
        <v>6.6503999999999994</v>
      </c>
      <c r="AB1448" s="54">
        <v>28.8184</v>
      </c>
      <c r="AC1448" s="54">
        <v>3.2906823529411771</v>
      </c>
      <c r="AD1448" s="36">
        <v>238.62959999999998</v>
      </c>
    </row>
    <row r="1449" spans="1:30" s="37" customFormat="1" ht="15.75" customHeight="1" x14ac:dyDescent="0.2">
      <c r="A1449" s="26">
        <v>21</v>
      </c>
      <c r="B1449" s="27" t="s">
        <v>2520</v>
      </c>
      <c r="C1449" s="27" t="s">
        <v>38</v>
      </c>
      <c r="D1449" s="28">
        <v>0.05</v>
      </c>
      <c r="E1449" s="29">
        <v>26.48</v>
      </c>
      <c r="F1449" s="29">
        <v>6.93</v>
      </c>
      <c r="G1449" s="30" t="s">
        <v>39</v>
      </c>
      <c r="H1449" s="27" t="s">
        <v>3095</v>
      </c>
      <c r="I1449" s="27" t="s">
        <v>29</v>
      </c>
      <c r="J1449" s="27" t="s">
        <v>126</v>
      </c>
      <c r="K1449" s="27" t="s">
        <v>73</v>
      </c>
      <c r="L1449" s="31" t="s">
        <v>2518</v>
      </c>
      <c r="M1449" s="32">
        <v>0.49</v>
      </c>
      <c r="N1449" s="27" t="s">
        <v>33</v>
      </c>
      <c r="O1449" s="27" t="s">
        <v>111</v>
      </c>
      <c r="P1449" s="27" t="s">
        <v>112</v>
      </c>
      <c r="Q1449" s="27" t="s">
        <v>113</v>
      </c>
      <c r="R1449" s="33">
        <v>10012</v>
      </c>
      <c r="S1449" s="34">
        <v>42139</v>
      </c>
      <c r="T1449" s="34">
        <v>42140</v>
      </c>
      <c r="U1449" s="29">
        <v>384.38</v>
      </c>
      <c r="V1449" s="26">
        <v>70</v>
      </c>
      <c r="W1449" s="29">
        <v>1876.69</v>
      </c>
      <c r="X1449" s="26">
        <v>41793</v>
      </c>
      <c r="Y1449" s="35">
        <v>39.04</v>
      </c>
      <c r="Z1449" s="1" t="s">
        <v>3014</v>
      </c>
      <c r="AA1449" s="36">
        <v>92.68</v>
      </c>
      <c r="AB1449" s="54">
        <v>957.11189999999999</v>
      </c>
      <c r="AC1449" s="54">
        <v>13.13683</v>
      </c>
      <c r="AD1449" s="36">
        <v>1392.7</v>
      </c>
    </row>
    <row r="1450" spans="1:30" s="37" customFormat="1" ht="15.75" customHeight="1" x14ac:dyDescent="0.2">
      <c r="A1450" s="26">
        <v>3041</v>
      </c>
      <c r="B1450" s="27" t="s">
        <v>2525</v>
      </c>
      <c r="C1450" s="27" t="s">
        <v>3094</v>
      </c>
      <c r="D1450" s="28">
        <v>0.08</v>
      </c>
      <c r="E1450" s="29">
        <v>73.98</v>
      </c>
      <c r="F1450" s="29">
        <v>4</v>
      </c>
      <c r="G1450" s="30" t="s">
        <v>39</v>
      </c>
      <c r="H1450" s="27" t="s">
        <v>94</v>
      </c>
      <c r="I1450" s="27" t="s">
        <v>41</v>
      </c>
      <c r="J1450" s="27" t="s">
        <v>42</v>
      </c>
      <c r="K1450" s="27" t="s">
        <v>73</v>
      </c>
      <c r="L1450" s="31" t="s">
        <v>733</v>
      </c>
      <c r="M1450" s="32">
        <v>0.77</v>
      </c>
      <c r="N1450" s="27" t="s">
        <v>33</v>
      </c>
      <c r="O1450" s="27" t="s">
        <v>53</v>
      </c>
      <c r="P1450" s="27" t="s">
        <v>537</v>
      </c>
      <c r="Q1450" s="27" t="s">
        <v>2065</v>
      </c>
      <c r="R1450" s="33">
        <v>67846</v>
      </c>
      <c r="S1450" s="34">
        <v>42139</v>
      </c>
      <c r="T1450" s="34">
        <v>42142</v>
      </c>
      <c r="U1450" s="29">
        <v>97.16</v>
      </c>
      <c r="V1450" s="26">
        <v>17</v>
      </c>
      <c r="W1450" s="29">
        <v>1181.67</v>
      </c>
      <c r="X1450" s="26">
        <v>86102</v>
      </c>
      <c r="Y1450" s="35">
        <v>37.6</v>
      </c>
      <c r="Z1450" s="1" t="s">
        <v>3012</v>
      </c>
      <c r="AA1450" s="36">
        <v>100.61280000000001</v>
      </c>
      <c r="AB1450" s="54">
        <v>271.78410000000002</v>
      </c>
      <c r="AC1450" s="54">
        <v>53.522700000000007</v>
      </c>
      <c r="AD1450" s="36">
        <v>979.89720000000011</v>
      </c>
    </row>
    <row r="1451" spans="1:30" s="37" customFormat="1" ht="15.75" customHeight="1" x14ac:dyDescent="0.2">
      <c r="A1451" s="26">
        <v>266</v>
      </c>
      <c r="B1451" s="27" t="s">
        <v>2522</v>
      </c>
      <c r="C1451" s="27" t="s">
        <v>116</v>
      </c>
      <c r="D1451" s="28">
        <v>0.01</v>
      </c>
      <c r="E1451" s="29">
        <v>20.34</v>
      </c>
      <c r="F1451" s="29">
        <v>35</v>
      </c>
      <c r="G1451" s="30" t="s">
        <v>39</v>
      </c>
      <c r="H1451" s="27" t="s">
        <v>94</v>
      </c>
      <c r="I1451" s="27" t="s">
        <v>49</v>
      </c>
      <c r="J1451" s="27" t="s">
        <v>78</v>
      </c>
      <c r="K1451" s="27" t="s">
        <v>65</v>
      </c>
      <c r="L1451" s="31" t="s">
        <v>260</v>
      </c>
      <c r="M1451" s="32">
        <v>0.84</v>
      </c>
      <c r="N1451" s="27" t="s">
        <v>33</v>
      </c>
      <c r="O1451" s="27" t="s">
        <v>53</v>
      </c>
      <c r="P1451" s="27" t="s">
        <v>187</v>
      </c>
      <c r="Q1451" s="27" t="s">
        <v>2524</v>
      </c>
      <c r="R1451" s="33">
        <v>78207</v>
      </c>
      <c r="S1451" s="34">
        <v>42139</v>
      </c>
      <c r="T1451" s="34">
        <v>42140</v>
      </c>
      <c r="U1451" s="29">
        <v>229.63800000000001</v>
      </c>
      <c r="V1451" s="26">
        <v>33</v>
      </c>
      <c r="W1451" s="29">
        <v>747.28</v>
      </c>
      <c r="X1451" s="26">
        <v>90594</v>
      </c>
      <c r="Y1451" s="35">
        <v>26.43</v>
      </c>
      <c r="Z1451" s="1" t="s">
        <v>3012</v>
      </c>
      <c r="AA1451" s="36">
        <v>6.7122000000000002</v>
      </c>
      <c r="AB1451" s="54">
        <v>119.56480000000002</v>
      </c>
      <c r="AC1451" s="54">
        <v>19.021672727272726</v>
      </c>
      <c r="AD1451" s="36">
        <v>475.92979999999994</v>
      </c>
    </row>
    <row r="1452" spans="1:30" s="37" customFormat="1" ht="15.75" customHeight="1" x14ac:dyDescent="0.2">
      <c r="A1452" s="26">
        <v>1023</v>
      </c>
      <c r="B1452" s="27" t="s">
        <v>2514</v>
      </c>
      <c r="C1452" s="27" t="s">
        <v>26</v>
      </c>
      <c r="D1452" s="28">
        <v>0.1</v>
      </c>
      <c r="E1452" s="29">
        <v>37.700000000000003</v>
      </c>
      <c r="F1452" s="29">
        <v>2.99</v>
      </c>
      <c r="G1452" s="30" t="s">
        <v>39</v>
      </c>
      <c r="H1452" s="27" t="s">
        <v>3095</v>
      </c>
      <c r="I1452" s="27" t="s">
        <v>49</v>
      </c>
      <c r="J1452" s="27" t="s">
        <v>72</v>
      </c>
      <c r="K1452" s="27" t="s">
        <v>73</v>
      </c>
      <c r="L1452" s="31" t="s">
        <v>2516</v>
      </c>
      <c r="M1452" s="32">
        <v>0.35</v>
      </c>
      <c r="N1452" s="27" t="s">
        <v>33</v>
      </c>
      <c r="O1452" s="27" t="s">
        <v>111</v>
      </c>
      <c r="P1452" s="27" t="s">
        <v>320</v>
      </c>
      <c r="Q1452" s="27" t="s">
        <v>2515</v>
      </c>
      <c r="R1452" s="33">
        <v>15221</v>
      </c>
      <c r="S1452" s="34">
        <v>42139</v>
      </c>
      <c r="T1452" s="34">
        <v>42140</v>
      </c>
      <c r="U1452" s="29">
        <v>455.12400000000002</v>
      </c>
      <c r="V1452" s="26">
        <v>18</v>
      </c>
      <c r="W1452" s="29">
        <v>659.6</v>
      </c>
      <c r="X1452" s="26">
        <v>88633</v>
      </c>
      <c r="Y1452" s="35">
        <v>26.43</v>
      </c>
      <c r="Z1452" s="1" t="s">
        <v>3014</v>
      </c>
      <c r="AA1452" s="36">
        <v>67.860000000000014</v>
      </c>
      <c r="AB1452" s="54">
        <v>428.74</v>
      </c>
      <c r="AC1452" s="54">
        <v>12.825555555555555</v>
      </c>
      <c r="AD1452" s="36">
        <v>133.62599999999998</v>
      </c>
    </row>
    <row r="1453" spans="1:30" s="37" customFormat="1" ht="15.75" customHeight="1" x14ac:dyDescent="0.2">
      <c r="A1453" s="26">
        <v>1023</v>
      </c>
      <c r="B1453" s="27" t="s">
        <v>2514</v>
      </c>
      <c r="C1453" s="27" t="s">
        <v>26</v>
      </c>
      <c r="D1453" s="28">
        <v>0.02</v>
      </c>
      <c r="E1453" s="29">
        <v>39.06</v>
      </c>
      <c r="F1453" s="29">
        <v>10.55</v>
      </c>
      <c r="G1453" s="30" t="s">
        <v>39</v>
      </c>
      <c r="H1453" s="27" t="s">
        <v>3095</v>
      </c>
      <c r="I1453" s="27" t="s">
        <v>49</v>
      </c>
      <c r="J1453" s="27" t="s">
        <v>72</v>
      </c>
      <c r="K1453" s="27" t="s">
        <v>73</v>
      </c>
      <c r="L1453" s="31" t="s">
        <v>255</v>
      </c>
      <c r="M1453" s="32">
        <v>0.37</v>
      </c>
      <c r="N1453" s="27" t="s">
        <v>33</v>
      </c>
      <c r="O1453" s="27" t="s">
        <v>111</v>
      </c>
      <c r="P1453" s="27" t="s">
        <v>320</v>
      </c>
      <c r="Q1453" s="27" t="s">
        <v>2515</v>
      </c>
      <c r="R1453" s="33">
        <v>15221</v>
      </c>
      <c r="S1453" s="34">
        <v>42139</v>
      </c>
      <c r="T1453" s="34">
        <v>42139</v>
      </c>
      <c r="U1453" s="29">
        <v>442.0899</v>
      </c>
      <c r="V1453" s="26">
        <v>16</v>
      </c>
      <c r="W1453" s="29">
        <v>640.71</v>
      </c>
      <c r="X1453" s="26">
        <v>88633</v>
      </c>
      <c r="Y1453" s="35">
        <v>30.97</v>
      </c>
      <c r="Z1453" s="1" t="s">
        <v>3014</v>
      </c>
      <c r="AA1453" s="36">
        <v>12.499200000000002</v>
      </c>
      <c r="AB1453" s="54">
        <v>403.64730000000003</v>
      </c>
      <c r="AC1453" s="54">
        <v>14.81641875</v>
      </c>
      <c r="AD1453" s="36">
        <v>175.57090000000005</v>
      </c>
    </row>
    <row r="1454" spans="1:30" s="37" customFormat="1" ht="15.75" customHeight="1" x14ac:dyDescent="0.2">
      <c r="A1454" s="26">
        <v>1989</v>
      </c>
      <c r="B1454" s="27" t="s">
        <v>693</v>
      </c>
      <c r="C1454" s="27" t="s">
        <v>38</v>
      </c>
      <c r="D1454" s="28">
        <v>0.01</v>
      </c>
      <c r="E1454" s="29">
        <v>40.99</v>
      </c>
      <c r="F1454" s="29">
        <v>19.989999999999998</v>
      </c>
      <c r="G1454" s="30" t="s">
        <v>39</v>
      </c>
      <c r="H1454" s="27" t="s">
        <v>94</v>
      </c>
      <c r="I1454" s="27" t="s">
        <v>49</v>
      </c>
      <c r="J1454" s="27" t="s">
        <v>88</v>
      </c>
      <c r="K1454" s="27" t="s">
        <v>73</v>
      </c>
      <c r="L1454" s="31" t="s">
        <v>1234</v>
      </c>
      <c r="M1454" s="32">
        <v>0.36</v>
      </c>
      <c r="N1454" s="27" t="s">
        <v>33</v>
      </c>
      <c r="O1454" s="27" t="s">
        <v>60</v>
      </c>
      <c r="P1454" s="27" t="s">
        <v>146</v>
      </c>
      <c r="Q1454" s="27" t="s">
        <v>695</v>
      </c>
      <c r="R1454" s="33">
        <v>84117</v>
      </c>
      <c r="S1454" s="34">
        <v>42139</v>
      </c>
      <c r="T1454" s="34">
        <v>42142</v>
      </c>
      <c r="U1454" s="29">
        <v>177.79</v>
      </c>
      <c r="V1454" s="26">
        <v>11</v>
      </c>
      <c r="W1454" s="29">
        <v>480.75</v>
      </c>
      <c r="X1454" s="26">
        <v>90001</v>
      </c>
      <c r="Y1454" s="35">
        <v>40.980000000000004</v>
      </c>
      <c r="Z1454" s="1" t="s">
        <v>3013</v>
      </c>
      <c r="AA1454" s="36">
        <v>4.5089000000000006</v>
      </c>
      <c r="AB1454" s="54">
        <v>307.68</v>
      </c>
      <c r="AC1454" s="54">
        <v>15.733636363636363</v>
      </c>
      <c r="AD1454" s="36">
        <v>278.46109999999999</v>
      </c>
    </row>
    <row r="1455" spans="1:30" s="37" customFormat="1" ht="15.75" customHeight="1" x14ac:dyDescent="0.2">
      <c r="A1455" s="26">
        <v>18</v>
      </c>
      <c r="B1455" s="27" t="s">
        <v>2517</v>
      </c>
      <c r="C1455" s="27" t="s">
        <v>38</v>
      </c>
      <c r="D1455" s="28">
        <v>0.05</v>
      </c>
      <c r="E1455" s="29">
        <v>26.48</v>
      </c>
      <c r="F1455" s="29">
        <v>6.93</v>
      </c>
      <c r="G1455" s="30" t="s">
        <v>39</v>
      </c>
      <c r="H1455" s="27" t="s">
        <v>3095</v>
      </c>
      <c r="I1455" s="27" t="s">
        <v>29</v>
      </c>
      <c r="J1455" s="27" t="s">
        <v>126</v>
      </c>
      <c r="K1455" s="27" t="s">
        <v>73</v>
      </c>
      <c r="L1455" s="31" t="s">
        <v>2518</v>
      </c>
      <c r="M1455" s="32">
        <v>0.49</v>
      </c>
      <c r="N1455" s="27" t="s">
        <v>33</v>
      </c>
      <c r="O1455" s="27" t="s">
        <v>60</v>
      </c>
      <c r="P1455" s="27" t="s">
        <v>277</v>
      </c>
      <c r="Q1455" s="27" t="s">
        <v>2519</v>
      </c>
      <c r="R1455" s="33">
        <v>59601</v>
      </c>
      <c r="S1455" s="34">
        <v>42139</v>
      </c>
      <c r="T1455" s="34">
        <v>42140</v>
      </c>
      <c r="U1455" s="29">
        <v>314.48129999999998</v>
      </c>
      <c r="V1455" s="26">
        <v>17</v>
      </c>
      <c r="W1455" s="29">
        <v>455.77</v>
      </c>
      <c r="X1455" s="26">
        <v>90031</v>
      </c>
      <c r="Y1455" s="35">
        <v>6.4</v>
      </c>
      <c r="Z1455" s="1" t="s">
        <v>3013</v>
      </c>
      <c r="AA1455" s="36">
        <v>22.508000000000003</v>
      </c>
      <c r="AB1455" s="54">
        <v>232.4427</v>
      </c>
      <c r="AC1455" s="54">
        <v>13.136899999999999</v>
      </c>
      <c r="AD1455" s="36">
        <v>111.85070000000002</v>
      </c>
    </row>
    <row r="1456" spans="1:30" s="37" customFormat="1" ht="15.75" customHeight="1" x14ac:dyDescent="0.2">
      <c r="A1456" s="26">
        <v>1989</v>
      </c>
      <c r="B1456" s="27" t="s">
        <v>693</v>
      </c>
      <c r="C1456" s="27" t="s">
        <v>38</v>
      </c>
      <c r="D1456" s="28">
        <v>0.01</v>
      </c>
      <c r="E1456" s="29">
        <v>30.98</v>
      </c>
      <c r="F1456" s="29">
        <v>6.5</v>
      </c>
      <c r="G1456" s="30" t="s">
        <v>39</v>
      </c>
      <c r="H1456" s="27" t="s">
        <v>94</v>
      </c>
      <c r="I1456" s="27" t="s">
        <v>41</v>
      </c>
      <c r="J1456" s="27" t="s">
        <v>42</v>
      </c>
      <c r="K1456" s="27" t="s">
        <v>73</v>
      </c>
      <c r="L1456" s="31" t="s">
        <v>2521</v>
      </c>
      <c r="M1456" s="32">
        <v>0.64</v>
      </c>
      <c r="N1456" s="27" t="s">
        <v>33</v>
      </c>
      <c r="O1456" s="27" t="s">
        <v>60</v>
      </c>
      <c r="P1456" s="27" t="s">
        <v>146</v>
      </c>
      <c r="Q1456" s="27" t="s">
        <v>695</v>
      </c>
      <c r="R1456" s="33">
        <v>84117</v>
      </c>
      <c r="S1456" s="34">
        <v>42139</v>
      </c>
      <c r="T1456" s="34">
        <v>42140</v>
      </c>
      <c r="U1456" s="29">
        <v>46.29</v>
      </c>
      <c r="V1456" s="26">
        <v>11</v>
      </c>
      <c r="W1456" s="29">
        <v>363.37</v>
      </c>
      <c r="X1456" s="26">
        <v>90001</v>
      </c>
      <c r="Y1456" s="35">
        <v>20.329999999999998</v>
      </c>
      <c r="Z1456" s="1" t="s">
        <v>3013</v>
      </c>
      <c r="AA1456" s="36">
        <v>3.4078000000000004</v>
      </c>
      <c r="AB1456" s="54">
        <v>130.81319999999999</v>
      </c>
      <c r="AC1456" s="54">
        <v>21.14152727272727</v>
      </c>
      <c r="AD1456" s="36">
        <v>307.17219999999998</v>
      </c>
    </row>
    <row r="1457" spans="1:30" s="37" customFormat="1" ht="15.75" customHeight="1" x14ac:dyDescent="0.2">
      <c r="A1457" s="26">
        <v>494</v>
      </c>
      <c r="B1457" s="27" t="s">
        <v>1074</v>
      </c>
      <c r="C1457" s="27" t="s">
        <v>116</v>
      </c>
      <c r="D1457" s="28">
        <v>0.06</v>
      </c>
      <c r="E1457" s="29">
        <v>8.32</v>
      </c>
      <c r="F1457" s="29">
        <v>2.38</v>
      </c>
      <c r="G1457" s="30" t="s">
        <v>39</v>
      </c>
      <c r="H1457" s="27" t="s">
        <v>40</v>
      </c>
      <c r="I1457" s="27" t="s">
        <v>41</v>
      </c>
      <c r="J1457" s="27" t="s">
        <v>42</v>
      </c>
      <c r="K1457" s="27" t="s">
        <v>43</v>
      </c>
      <c r="L1457" s="31" t="s">
        <v>1425</v>
      </c>
      <c r="M1457" s="32">
        <v>0.74</v>
      </c>
      <c r="N1457" s="27" t="s">
        <v>33</v>
      </c>
      <c r="O1457" s="27" t="s">
        <v>60</v>
      </c>
      <c r="P1457" s="27" t="s">
        <v>67</v>
      </c>
      <c r="Q1457" s="27" t="s">
        <v>142</v>
      </c>
      <c r="R1457" s="33">
        <v>98115</v>
      </c>
      <c r="S1457" s="34">
        <v>42139</v>
      </c>
      <c r="T1457" s="34">
        <v>42141</v>
      </c>
      <c r="U1457" s="29">
        <v>-36.630000000000003</v>
      </c>
      <c r="V1457" s="26">
        <v>12</v>
      </c>
      <c r="W1457" s="29">
        <v>101.26</v>
      </c>
      <c r="X1457" s="26">
        <v>88905</v>
      </c>
      <c r="Y1457" s="35">
        <v>2.86</v>
      </c>
      <c r="Z1457" s="1" t="s">
        <v>3013</v>
      </c>
      <c r="AA1457" s="36">
        <v>5.9903999999999993</v>
      </c>
      <c r="AB1457" s="54">
        <v>26.327600000000004</v>
      </c>
      <c r="AC1457" s="54">
        <v>6.2443666666666671</v>
      </c>
      <c r="AD1457" s="36">
        <v>129.5196</v>
      </c>
    </row>
    <row r="1458" spans="1:30" s="37" customFormat="1" ht="15.75" customHeight="1" x14ac:dyDescent="0.2">
      <c r="A1458" s="26">
        <v>266</v>
      </c>
      <c r="B1458" s="27" t="s">
        <v>2522</v>
      </c>
      <c r="C1458" s="27" t="s">
        <v>116</v>
      </c>
      <c r="D1458" s="28">
        <v>0.08</v>
      </c>
      <c r="E1458" s="29">
        <v>6.48</v>
      </c>
      <c r="F1458" s="29">
        <v>7.03</v>
      </c>
      <c r="G1458" s="30" t="s">
        <v>39</v>
      </c>
      <c r="H1458" s="27" t="s">
        <v>94</v>
      </c>
      <c r="I1458" s="27" t="s">
        <v>49</v>
      </c>
      <c r="J1458" s="27" t="s">
        <v>88</v>
      </c>
      <c r="K1458" s="27" t="s">
        <v>73</v>
      </c>
      <c r="L1458" s="31" t="s">
        <v>2523</v>
      </c>
      <c r="M1458" s="32">
        <v>0.37</v>
      </c>
      <c r="N1458" s="27" t="s">
        <v>33</v>
      </c>
      <c r="O1458" s="27" t="s">
        <v>53</v>
      </c>
      <c r="P1458" s="27" t="s">
        <v>187</v>
      </c>
      <c r="Q1458" s="27" t="s">
        <v>2524</v>
      </c>
      <c r="R1458" s="33">
        <v>78207</v>
      </c>
      <c r="S1458" s="34">
        <v>42139</v>
      </c>
      <c r="T1458" s="34">
        <v>42140</v>
      </c>
      <c r="U1458" s="29">
        <v>8.9320000000000004</v>
      </c>
      <c r="V1458" s="26">
        <v>10</v>
      </c>
      <c r="W1458" s="29">
        <v>67.86</v>
      </c>
      <c r="X1458" s="26">
        <v>90594</v>
      </c>
      <c r="Y1458" s="35">
        <v>8.26</v>
      </c>
      <c r="Z1458" s="1" t="s">
        <v>3012</v>
      </c>
      <c r="AA1458" s="36">
        <v>5.1840000000000011</v>
      </c>
      <c r="AB1458" s="54">
        <v>42.751800000000003</v>
      </c>
      <c r="AC1458" s="54">
        <v>2.5108199999999998</v>
      </c>
      <c r="AD1458" s="36">
        <v>46.713999999999999</v>
      </c>
    </row>
    <row r="1459" spans="1:30" s="37" customFormat="1" ht="15.75" customHeight="1" x14ac:dyDescent="0.2">
      <c r="A1459" s="26">
        <v>491</v>
      </c>
      <c r="B1459" s="27" t="s">
        <v>1073</v>
      </c>
      <c r="C1459" s="27" t="s">
        <v>116</v>
      </c>
      <c r="D1459" s="28">
        <v>0.08</v>
      </c>
      <c r="E1459" s="29">
        <v>2.94</v>
      </c>
      <c r="F1459" s="29">
        <v>0.96</v>
      </c>
      <c r="G1459" s="30" t="s">
        <v>39</v>
      </c>
      <c r="H1459" s="27" t="s">
        <v>40</v>
      </c>
      <c r="I1459" s="27" t="s">
        <v>49</v>
      </c>
      <c r="J1459" s="27" t="s">
        <v>50</v>
      </c>
      <c r="K1459" s="27" t="s">
        <v>51</v>
      </c>
      <c r="L1459" s="31" t="s">
        <v>829</v>
      </c>
      <c r="M1459" s="32">
        <v>0.57999999999999996</v>
      </c>
      <c r="N1459" s="27" t="s">
        <v>33</v>
      </c>
      <c r="O1459" s="27" t="s">
        <v>111</v>
      </c>
      <c r="P1459" s="27" t="s">
        <v>112</v>
      </c>
      <c r="Q1459" s="27" t="s">
        <v>113</v>
      </c>
      <c r="R1459" s="33">
        <v>10154</v>
      </c>
      <c r="S1459" s="34">
        <v>42139</v>
      </c>
      <c r="T1459" s="34">
        <v>42141</v>
      </c>
      <c r="U1459" s="29">
        <v>-2.12</v>
      </c>
      <c r="V1459" s="26">
        <v>23</v>
      </c>
      <c r="W1459" s="29">
        <v>66.7</v>
      </c>
      <c r="X1459" s="26">
        <v>8353</v>
      </c>
      <c r="Y1459" s="35">
        <v>2.86</v>
      </c>
      <c r="Z1459" s="1" t="s">
        <v>3014</v>
      </c>
      <c r="AA1459" s="36">
        <v>5.4096000000000002</v>
      </c>
      <c r="AB1459" s="54">
        <v>28.014000000000003</v>
      </c>
      <c r="AC1459" s="54">
        <v>1.6819999999999999</v>
      </c>
      <c r="AD1459" s="36">
        <v>62.450400000000002</v>
      </c>
    </row>
    <row r="1460" spans="1:30" s="37" customFormat="1" ht="15.75" customHeight="1" x14ac:dyDescent="0.2">
      <c r="A1460" s="26">
        <v>3041</v>
      </c>
      <c r="B1460" s="27" t="s">
        <v>2525</v>
      </c>
      <c r="C1460" s="27" t="s">
        <v>3094</v>
      </c>
      <c r="D1460" s="28">
        <v>0.02</v>
      </c>
      <c r="E1460" s="29">
        <v>3.68</v>
      </c>
      <c r="F1460" s="29">
        <v>1.32</v>
      </c>
      <c r="G1460" s="30" t="s">
        <v>39</v>
      </c>
      <c r="H1460" s="27" t="s">
        <v>94</v>
      </c>
      <c r="I1460" s="27" t="s">
        <v>49</v>
      </c>
      <c r="J1460" s="27" t="s">
        <v>568</v>
      </c>
      <c r="K1460" s="27" t="s">
        <v>51</v>
      </c>
      <c r="L1460" s="31" t="s">
        <v>2526</v>
      </c>
      <c r="M1460" s="32">
        <v>0.83</v>
      </c>
      <c r="N1460" s="27" t="s">
        <v>33</v>
      </c>
      <c r="O1460" s="27" t="s">
        <v>53</v>
      </c>
      <c r="P1460" s="27" t="s">
        <v>537</v>
      </c>
      <c r="Q1460" s="27" t="s">
        <v>2065</v>
      </c>
      <c r="R1460" s="33">
        <v>67846</v>
      </c>
      <c r="S1460" s="34">
        <v>42139</v>
      </c>
      <c r="T1460" s="34">
        <v>42141</v>
      </c>
      <c r="U1460" s="29">
        <v>-20.65</v>
      </c>
      <c r="V1460" s="26">
        <v>8</v>
      </c>
      <c r="W1460" s="29">
        <v>29.93</v>
      </c>
      <c r="X1460" s="26">
        <v>86102</v>
      </c>
      <c r="Y1460" s="35">
        <v>73.900000000000006</v>
      </c>
      <c r="Z1460" s="1" t="s">
        <v>3012</v>
      </c>
      <c r="AA1460" s="36">
        <v>0.58879999999999999</v>
      </c>
      <c r="AB1460" s="54">
        <v>5.0881000000000007</v>
      </c>
      <c r="AC1460" s="54">
        <v>3.1052374999999999</v>
      </c>
      <c r="AD1460" s="36">
        <v>48.671199999999999</v>
      </c>
    </row>
    <row r="1461" spans="1:30" s="37" customFormat="1" ht="15.75" customHeight="1" x14ac:dyDescent="0.2">
      <c r="A1461" s="26">
        <v>494</v>
      </c>
      <c r="B1461" s="27" t="s">
        <v>1074</v>
      </c>
      <c r="C1461" s="27" t="s">
        <v>116</v>
      </c>
      <c r="D1461" s="28">
        <v>0.08</v>
      </c>
      <c r="E1461" s="29">
        <v>2.94</v>
      </c>
      <c r="F1461" s="29">
        <v>0.96</v>
      </c>
      <c r="G1461" s="30" t="s">
        <v>39</v>
      </c>
      <c r="H1461" s="27" t="s">
        <v>40</v>
      </c>
      <c r="I1461" s="27" t="s">
        <v>49</v>
      </c>
      <c r="J1461" s="27" t="s">
        <v>50</v>
      </c>
      <c r="K1461" s="27" t="s">
        <v>51</v>
      </c>
      <c r="L1461" s="31" t="s">
        <v>829</v>
      </c>
      <c r="M1461" s="32">
        <v>0.57999999999999996</v>
      </c>
      <c r="N1461" s="27" t="s">
        <v>33</v>
      </c>
      <c r="O1461" s="27" t="s">
        <v>60</v>
      </c>
      <c r="P1461" s="27" t="s">
        <v>67</v>
      </c>
      <c r="Q1461" s="27" t="s">
        <v>142</v>
      </c>
      <c r="R1461" s="33">
        <v>98115</v>
      </c>
      <c r="S1461" s="34">
        <v>42139</v>
      </c>
      <c r="T1461" s="34">
        <v>42141</v>
      </c>
      <c r="U1461" s="29">
        <v>-2.12</v>
      </c>
      <c r="V1461" s="26">
        <v>6</v>
      </c>
      <c r="W1461" s="29">
        <v>17.399999999999999</v>
      </c>
      <c r="X1461" s="26">
        <v>88905</v>
      </c>
      <c r="Y1461" s="35">
        <v>3.66</v>
      </c>
      <c r="Z1461" s="1" t="s">
        <v>3013</v>
      </c>
      <c r="AA1461" s="36">
        <v>1.4112</v>
      </c>
      <c r="AB1461" s="54">
        <v>7.3079999999999998</v>
      </c>
      <c r="AC1461" s="54">
        <v>1.6819999999999999</v>
      </c>
      <c r="AD1461" s="36">
        <v>17.148799999999998</v>
      </c>
    </row>
    <row r="1462" spans="1:30" s="37" customFormat="1" ht="15.75" customHeight="1" x14ac:dyDescent="0.2">
      <c r="A1462" s="26">
        <v>1390</v>
      </c>
      <c r="B1462" s="27" t="s">
        <v>2531</v>
      </c>
      <c r="C1462" s="27" t="s">
        <v>26</v>
      </c>
      <c r="D1462" s="28">
        <v>0.03</v>
      </c>
      <c r="E1462" s="29">
        <v>110.99</v>
      </c>
      <c r="F1462" s="29">
        <v>2.5</v>
      </c>
      <c r="G1462" s="30" t="s">
        <v>39</v>
      </c>
      <c r="H1462" s="27" t="s">
        <v>94</v>
      </c>
      <c r="I1462" s="27" t="s">
        <v>41</v>
      </c>
      <c r="J1462" s="27" t="s">
        <v>135</v>
      </c>
      <c r="K1462" s="27" t="s">
        <v>73</v>
      </c>
      <c r="L1462" s="31" t="s">
        <v>136</v>
      </c>
      <c r="M1462" s="32">
        <v>0.56999999999999995</v>
      </c>
      <c r="N1462" s="27" t="s">
        <v>33</v>
      </c>
      <c r="O1462" s="27" t="s">
        <v>60</v>
      </c>
      <c r="P1462" s="27" t="s">
        <v>90</v>
      </c>
      <c r="Q1462" s="27" t="s">
        <v>2533</v>
      </c>
      <c r="R1462" s="33">
        <v>95207</v>
      </c>
      <c r="S1462" s="34">
        <v>42140</v>
      </c>
      <c r="T1462" s="34">
        <v>42142</v>
      </c>
      <c r="U1462" s="29">
        <v>2495.3987999999999</v>
      </c>
      <c r="V1462" s="26">
        <v>38</v>
      </c>
      <c r="W1462" s="29">
        <v>3616.52</v>
      </c>
      <c r="X1462" s="26">
        <v>88731</v>
      </c>
      <c r="Y1462" s="35">
        <v>18.93</v>
      </c>
      <c r="Z1462" s="1" t="s">
        <v>3013</v>
      </c>
      <c r="AA1462" s="36">
        <v>126.5286</v>
      </c>
      <c r="AB1462" s="54">
        <v>1555.1036000000001</v>
      </c>
      <c r="AC1462" s="54">
        <v>54.247799999999991</v>
      </c>
      <c r="AD1462" s="36">
        <v>992.09259999999995</v>
      </c>
    </row>
    <row r="1463" spans="1:30" s="37" customFormat="1" ht="15.75" customHeight="1" x14ac:dyDescent="0.2">
      <c r="A1463" s="26">
        <v>688</v>
      </c>
      <c r="B1463" s="27" t="s">
        <v>1521</v>
      </c>
      <c r="C1463" s="27" t="s">
        <v>26</v>
      </c>
      <c r="D1463" s="28">
        <v>7.0000000000000007E-2</v>
      </c>
      <c r="E1463" s="29">
        <v>279.48</v>
      </c>
      <c r="F1463" s="29">
        <v>35</v>
      </c>
      <c r="G1463" s="30" t="s">
        <v>39</v>
      </c>
      <c r="H1463" s="27" t="s">
        <v>3095</v>
      </c>
      <c r="I1463" s="27" t="s">
        <v>49</v>
      </c>
      <c r="J1463" s="27" t="s">
        <v>78</v>
      </c>
      <c r="K1463" s="27" t="s">
        <v>65</v>
      </c>
      <c r="L1463" s="31" t="s">
        <v>225</v>
      </c>
      <c r="M1463" s="32">
        <v>0.8</v>
      </c>
      <c r="N1463" s="27" t="s">
        <v>33</v>
      </c>
      <c r="O1463" s="27" t="s">
        <v>53</v>
      </c>
      <c r="P1463" s="27" t="s">
        <v>80</v>
      </c>
      <c r="Q1463" s="27" t="s">
        <v>1523</v>
      </c>
      <c r="R1463" s="33">
        <v>63116</v>
      </c>
      <c r="S1463" s="34">
        <v>42140</v>
      </c>
      <c r="T1463" s="34">
        <v>42140</v>
      </c>
      <c r="U1463" s="29">
        <v>-207.28</v>
      </c>
      <c r="V1463" s="26">
        <v>10</v>
      </c>
      <c r="W1463" s="29">
        <v>2716.09</v>
      </c>
      <c r="X1463" s="26">
        <v>88503</v>
      </c>
      <c r="Y1463" s="35">
        <v>10.89</v>
      </c>
      <c r="Z1463" s="1" t="s">
        <v>3012</v>
      </c>
      <c r="AA1463" s="36">
        <v>195.63600000000005</v>
      </c>
      <c r="AB1463" s="54">
        <v>543.21799999999996</v>
      </c>
      <c r="AC1463" s="54">
        <v>217.28720000000004</v>
      </c>
      <c r="AD1463" s="36">
        <v>2692.7339999999999</v>
      </c>
    </row>
    <row r="1464" spans="1:30" s="37" customFormat="1" ht="15.75" customHeight="1" x14ac:dyDescent="0.2">
      <c r="A1464" s="26">
        <v>1723</v>
      </c>
      <c r="B1464" s="27" t="s">
        <v>888</v>
      </c>
      <c r="C1464" s="27" t="s">
        <v>38</v>
      </c>
      <c r="D1464" s="28">
        <v>0.04</v>
      </c>
      <c r="E1464" s="29">
        <v>12.44</v>
      </c>
      <c r="F1464" s="29">
        <v>6.27</v>
      </c>
      <c r="G1464" s="30" t="s">
        <v>39</v>
      </c>
      <c r="H1464" s="27" t="s">
        <v>94</v>
      </c>
      <c r="I1464" s="27" t="s">
        <v>49</v>
      </c>
      <c r="J1464" s="27" t="s">
        <v>78</v>
      </c>
      <c r="K1464" s="27" t="s">
        <v>144</v>
      </c>
      <c r="L1464" s="31" t="s">
        <v>2535</v>
      </c>
      <c r="M1464" s="32">
        <v>0.56999999999999995</v>
      </c>
      <c r="N1464" s="27" t="s">
        <v>33</v>
      </c>
      <c r="O1464" s="27" t="s">
        <v>60</v>
      </c>
      <c r="P1464" s="27" t="s">
        <v>90</v>
      </c>
      <c r="Q1464" s="27" t="s">
        <v>890</v>
      </c>
      <c r="R1464" s="33">
        <v>92037</v>
      </c>
      <c r="S1464" s="34">
        <v>42140</v>
      </c>
      <c r="T1464" s="34">
        <v>42141</v>
      </c>
      <c r="U1464" s="29">
        <v>-59.06</v>
      </c>
      <c r="V1464" s="26">
        <v>146</v>
      </c>
      <c r="W1464" s="29">
        <v>1834.61</v>
      </c>
      <c r="X1464" s="26">
        <v>32710</v>
      </c>
      <c r="Y1464" s="35">
        <v>279.41000000000003</v>
      </c>
      <c r="Z1464" s="1" t="s">
        <v>3013</v>
      </c>
      <c r="AA1464" s="36">
        <v>72.649599999999992</v>
      </c>
      <c r="AB1464" s="54">
        <v>788.8823000000001</v>
      </c>
      <c r="AC1464" s="54">
        <v>7.1625184931506842</v>
      </c>
      <c r="AD1464" s="36">
        <v>1814.7503999999999</v>
      </c>
    </row>
    <row r="1465" spans="1:30" s="37" customFormat="1" ht="15.75" customHeight="1" x14ac:dyDescent="0.2">
      <c r="A1465" s="26">
        <v>2071</v>
      </c>
      <c r="B1465" s="27" t="s">
        <v>917</v>
      </c>
      <c r="C1465" s="27" t="s">
        <v>48</v>
      </c>
      <c r="D1465" s="28">
        <v>0.08</v>
      </c>
      <c r="E1465" s="29">
        <v>65.989999999999995</v>
      </c>
      <c r="F1465" s="29">
        <v>5.92</v>
      </c>
      <c r="G1465" s="30" t="s">
        <v>87</v>
      </c>
      <c r="H1465" s="27" t="s">
        <v>94</v>
      </c>
      <c r="I1465" s="27" t="s">
        <v>41</v>
      </c>
      <c r="J1465" s="27" t="s">
        <v>135</v>
      </c>
      <c r="K1465" s="27" t="s">
        <v>73</v>
      </c>
      <c r="L1465" s="31" t="s">
        <v>1056</v>
      </c>
      <c r="M1465" s="32">
        <v>0.57999999999999996</v>
      </c>
      <c r="N1465" s="27" t="s">
        <v>33</v>
      </c>
      <c r="O1465" s="27" t="s">
        <v>53</v>
      </c>
      <c r="P1465" s="27" t="s">
        <v>289</v>
      </c>
      <c r="Q1465" s="27" t="s">
        <v>919</v>
      </c>
      <c r="R1465" s="33">
        <v>48336</v>
      </c>
      <c r="S1465" s="34">
        <v>42140</v>
      </c>
      <c r="T1465" s="34">
        <v>42147</v>
      </c>
      <c r="U1465" s="29">
        <v>183.84299999999999</v>
      </c>
      <c r="V1465" s="26">
        <v>20</v>
      </c>
      <c r="W1465" s="29">
        <v>1063.81</v>
      </c>
      <c r="X1465" s="26">
        <v>88558</v>
      </c>
      <c r="Y1465" s="35">
        <v>14.42</v>
      </c>
      <c r="Z1465" s="1" t="s">
        <v>3012</v>
      </c>
      <c r="AA1465" s="36">
        <v>105.58399999999999</v>
      </c>
      <c r="AB1465" s="54">
        <v>446.80020000000002</v>
      </c>
      <c r="AC1465" s="54">
        <v>30.850489999999997</v>
      </c>
      <c r="AD1465" s="36">
        <v>768.46299999999997</v>
      </c>
    </row>
    <row r="1466" spans="1:30" s="37" customFormat="1" ht="15.75" customHeight="1" x14ac:dyDescent="0.2">
      <c r="A1466" s="26">
        <v>1721</v>
      </c>
      <c r="B1466" s="27" t="s">
        <v>2534</v>
      </c>
      <c r="C1466" s="27" t="s">
        <v>38</v>
      </c>
      <c r="D1466" s="28">
        <v>0.04</v>
      </c>
      <c r="E1466" s="29">
        <v>12.44</v>
      </c>
      <c r="F1466" s="29">
        <v>6.27</v>
      </c>
      <c r="G1466" s="30" t="s">
        <v>39</v>
      </c>
      <c r="H1466" s="27" t="s">
        <v>94</v>
      </c>
      <c r="I1466" s="27" t="s">
        <v>49</v>
      </c>
      <c r="J1466" s="27" t="s">
        <v>78</v>
      </c>
      <c r="K1466" s="27" t="s">
        <v>144</v>
      </c>
      <c r="L1466" s="31" t="s">
        <v>2535</v>
      </c>
      <c r="M1466" s="32">
        <v>0.56999999999999995</v>
      </c>
      <c r="N1466" s="27" t="s">
        <v>33</v>
      </c>
      <c r="O1466" s="27" t="s">
        <v>34</v>
      </c>
      <c r="P1466" s="27" t="s">
        <v>45</v>
      </c>
      <c r="Q1466" s="27" t="s">
        <v>2536</v>
      </c>
      <c r="R1466" s="33">
        <v>72401</v>
      </c>
      <c r="S1466" s="34">
        <v>42140</v>
      </c>
      <c r="T1466" s="34">
        <v>42141</v>
      </c>
      <c r="U1466" s="29">
        <v>-258.56599999999997</v>
      </c>
      <c r="V1466" s="26">
        <v>37</v>
      </c>
      <c r="W1466" s="29">
        <v>464.94</v>
      </c>
      <c r="X1466" s="26">
        <v>90787</v>
      </c>
      <c r="Y1466" s="35">
        <v>8.07</v>
      </c>
      <c r="Z1466" s="1" t="s">
        <v>3011</v>
      </c>
      <c r="AA1466" s="36">
        <v>18.411200000000001</v>
      </c>
      <c r="AB1466" s="54">
        <v>199.92420000000001</v>
      </c>
      <c r="AC1466" s="54">
        <v>7.1625891891891893</v>
      </c>
      <c r="AD1466" s="36">
        <v>698.82479999999998</v>
      </c>
    </row>
    <row r="1467" spans="1:30" s="37" customFormat="1" ht="15.75" customHeight="1" x14ac:dyDescent="0.2">
      <c r="A1467" s="26">
        <v>1984</v>
      </c>
      <c r="B1467" s="27" t="s">
        <v>2541</v>
      </c>
      <c r="C1467" s="27" t="s">
        <v>3094</v>
      </c>
      <c r="D1467" s="28">
        <v>0.1</v>
      </c>
      <c r="E1467" s="29">
        <v>7.37</v>
      </c>
      <c r="F1467" s="29">
        <v>5.53</v>
      </c>
      <c r="G1467" s="30" t="s">
        <v>39</v>
      </c>
      <c r="H1467" s="27" t="s">
        <v>40</v>
      </c>
      <c r="I1467" s="27" t="s">
        <v>41</v>
      </c>
      <c r="J1467" s="27" t="s">
        <v>42</v>
      </c>
      <c r="K1467" s="27" t="s">
        <v>43</v>
      </c>
      <c r="L1467" s="31" t="s">
        <v>549</v>
      </c>
      <c r="M1467" s="32">
        <v>0.69</v>
      </c>
      <c r="N1467" s="27" t="s">
        <v>33</v>
      </c>
      <c r="O1467" s="27" t="s">
        <v>34</v>
      </c>
      <c r="P1467" s="27" t="s">
        <v>271</v>
      </c>
      <c r="Q1467" s="27" t="s">
        <v>272</v>
      </c>
      <c r="R1467" s="33">
        <v>29915</v>
      </c>
      <c r="S1467" s="34">
        <v>42140</v>
      </c>
      <c r="T1467" s="34">
        <v>42140</v>
      </c>
      <c r="U1467" s="29">
        <v>290.202</v>
      </c>
      <c r="V1467" s="26">
        <v>38</v>
      </c>
      <c r="W1467" s="29">
        <v>269.33</v>
      </c>
      <c r="X1467" s="26">
        <v>91258</v>
      </c>
      <c r="Y1467" s="35">
        <v>110.96</v>
      </c>
      <c r="Z1467" s="1" t="s">
        <v>3011</v>
      </c>
      <c r="AA1467" s="36">
        <v>28.006000000000004</v>
      </c>
      <c r="AB1467" s="54">
        <v>83.492300000000014</v>
      </c>
      <c r="AC1467" s="54">
        <v>4.8904657894736836</v>
      </c>
      <c r="AD1467" s="36">
        <v>-54.408000000000015</v>
      </c>
    </row>
    <row r="1468" spans="1:30" s="37" customFormat="1" ht="15.75" customHeight="1" x14ac:dyDescent="0.2">
      <c r="A1468" s="26">
        <v>3354</v>
      </c>
      <c r="B1468" s="27" t="s">
        <v>1893</v>
      </c>
      <c r="C1468" s="27" t="s">
        <v>38</v>
      </c>
      <c r="D1468" s="28">
        <v>0.03</v>
      </c>
      <c r="E1468" s="29">
        <v>28.53</v>
      </c>
      <c r="F1468" s="29">
        <v>1.49</v>
      </c>
      <c r="G1468" s="30" t="s">
        <v>39</v>
      </c>
      <c r="H1468" s="27" t="s">
        <v>94</v>
      </c>
      <c r="I1468" s="27" t="s">
        <v>49</v>
      </c>
      <c r="J1468" s="27" t="s">
        <v>72</v>
      </c>
      <c r="K1468" s="27" t="s">
        <v>73</v>
      </c>
      <c r="L1468" s="31" t="s">
        <v>1832</v>
      </c>
      <c r="M1468" s="32">
        <v>0.38</v>
      </c>
      <c r="N1468" s="27" t="s">
        <v>33</v>
      </c>
      <c r="O1468" s="27" t="s">
        <v>60</v>
      </c>
      <c r="P1468" s="27" t="s">
        <v>90</v>
      </c>
      <c r="Q1468" s="27" t="s">
        <v>1895</v>
      </c>
      <c r="R1468" s="33">
        <v>92231</v>
      </c>
      <c r="S1468" s="34">
        <v>42140</v>
      </c>
      <c r="T1468" s="34">
        <v>42141</v>
      </c>
      <c r="U1468" s="29">
        <v>137.67570000000001</v>
      </c>
      <c r="V1468" s="26">
        <v>7</v>
      </c>
      <c r="W1468" s="29">
        <v>199.53</v>
      </c>
      <c r="X1468" s="26">
        <v>88589</v>
      </c>
      <c r="Y1468" s="35">
        <v>12.4</v>
      </c>
      <c r="Z1468" s="1" t="s">
        <v>3013</v>
      </c>
      <c r="AA1468" s="36">
        <v>5.9912999999999998</v>
      </c>
      <c r="AB1468" s="54">
        <v>123.7086</v>
      </c>
      <c r="AC1468" s="54">
        <v>10.831628571428572</v>
      </c>
      <c r="AD1468" s="36">
        <v>54.37299999999999</v>
      </c>
    </row>
    <row r="1469" spans="1:30" s="37" customFormat="1" ht="15.75" customHeight="1" x14ac:dyDescent="0.2">
      <c r="A1469" s="26">
        <v>2070</v>
      </c>
      <c r="B1469" s="27" t="s">
        <v>2539</v>
      </c>
      <c r="C1469" s="27" t="s">
        <v>48</v>
      </c>
      <c r="D1469" s="28">
        <v>7.0000000000000007E-2</v>
      </c>
      <c r="E1469" s="29">
        <v>35.99</v>
      </c>
      <c r="F1469" s="29">
        <v>5.99</v>
      </c>
      <c r="G1469" s="30" t="s">
        <v>39</v>
      </c>
      <c r="H1469" s="27" t="s">
        <v>94</v>
      </c>
      <c r="I1469" s="27" t="s">
        <v>41</v>
      </c>
      <c r="J1469" s="27" t="s">
        <v>135</v>
      </c>
      <c r="K1469" s="27" t="s">
        <v>51</v>
      </c>
      <c r="L1469" s="31" t="s">
        <v>1372</v>
      </c>
      <c r="M1469" s="32">
        <v>0.38</v>
      </c>
      <c r="N1469" s="27" t="s">
        <v>33</v>
      </c>
      <c r="O1469" s="27" t="s">
        <v>53</v>
      </c>
      <c r="P1469" s="27" t="s">
        <v>289</v>
      </c>
      <c r="Q1469" s="27" t="s">
        <v>2540</v>
      </c>
      <c r="R1469" s="33">
        <v>48021</v>
      </c>
      <c r="S1469" s="34">
        <v>42140</v>
      </c>
      <c r="T1469" s="34">
        <v>42144</v>
      </c>
      <c r="U1469" s="29">
        <v>17.8398</v>
      </c>
      <c r="V1469" s="26">
        <v>5</v>
      </c>
      <c r="W1469" s="29">
        <v>153.61000000000001</v>
      </c>
      <c r="X1469" s="26">
        <v>88558</v>
      </c>
      <c r="Y1469" s="35">
        <v>12.4</v>
      </c>
      <c r="Z1469" s="1" t="s">
        <v>3012</v>
      </c>
      <c r="AA1469" s="36">
        <v>12.596500000000002</v>
      </c>
      <c r="AB1469" s="54">
        <v>95.238200000000006</v>
      </c>
      <c r="AC1469" s="54">
        <v>11.67436</v>
      </c>
      <c r="AD1469" s="36">
        <v>117.18370000000002</v>
      </c>
    </row>
    <row r="1470" spans="1:30" s="37" customFormat="1" ht="15.75" customHeight="1" x14ac:dyDescent="0.2">
      <c r="A1470" s="26">
        <v>1390</v>
      </c>
      <c r="B1470" s="27" t="s">
        <v>2531</v>
      </c>
      <c r="C1470" s="27" t="s">
        <v>26</v>
      </c>
      <c r="D1470" s="28">
        <v>0.1</v>
      </c>
      <c r="E1470" s="29">
        <v>8.17</v>
      </c>
      <c r="F1470" s="29">
        <v>1.69</v>
      </c>
      <c r="G1470" s="30" t="s">
        <v>39</v>
      </c>
      <c r="H1470" s="27" t="s">
        <v>94</v>
      </c>
      <c r="I1470" s="27" t="s">
        <v>49</v>
      </c>
      <c r="J1470" s="27" t="s">
        <v>88</v>
      </c>
      <c r="K1470" s="27" t="s">
        <v>51</v>
      </c>
      <c r="L1470" s="31" t="s">
        <v>2532</v>
      </c>
      <c r="M1470" s="32">
        <v>0.38</v>
      </c>
      <c r="N1470" s="27" t="s">
        <v>33</v>
      </c>
      <c r="O1470" s="27" t="s">
        <v>60</v>
      </c>
      <c r="P1470" s="27" t="s">
        <v>90</v>
      </c>
      <c r="Q1470" s="27" t="s">
        <v>2533</v>
      </c>
      <c r="R1470" s="33">
        <v>95207</v>
      </c>
      <c r="S1470" s="34">
        <v>42140</v>
      </c>
      <c r="T1470" s="34">
        <v>42140</v>
      </c>
      <c r="U1470" s="29">
        <v>100.2984</v>
      </c>
      <c r="V1470" s="26">
        <v>19</v>
      </c>
      <c r="W1470" s="29">
        <v>145.36000000000001</v>
      </c>
      <c r="X1470" s="26">
        <v>88731</v>
      </c>
      <c r="Y1470" s="35">
        <v>5.3100000000000005</v>
      </c>
      <c r="Z1470" s="1" t="s">
        <v>3013</v>
      </c>
      <c r="AA1470" s="36">
        <v>15.523000000000001</v>
      </c>
      <c r="AB1470" s="54">
        <v>90.123200000000011</v>
      </c>
      <c r="AC1470" s="54">
        <v>2.9072000000000005</v>
      </c>
      <c r="AD1470" s="36">
        <v>27.848600000000019</v>
      </c>
    </row>
    <row r="1471" spans="1:30" s="37" customFormat="1" ht="15.75" customHeight="1" x14ac:dyDescent="0.2">
      <c r="A1471" s="26">
        <v>136</v>
      </c>
      <c r="B1471" s="27" t="s">
        <v>2527</v>
      </c>
      <c r="C1471" s="27" t="s">
        <v>26</v>
      </c>
      <c r="D1471" s="28">
        <v>0.04</v>
      </c>
      <c r="E1471" s="29">
        <v>18.97</v>
      </c>
      <c r="F1471" s="29">
        <v>9.5399999999999991</v>
      </c>
      <c r="G1471" s="30" t="s">
        <v>39</v>
      </c>
      <c r="H1471" s="27" t="s">
        <v>3095</v>
      </c>
      <c r="I1471" s="27" t="s">
        <v>49</v>
      </c>
      <c r="J1471" s="27" t="s">
        <v>88</v>
      </c>
      <c r="K1471" s="27" t="s">
        <v>73</v>
      </c>
      <c r="L1471" s="31" t="s">
        <v>479</v>
      </c>
      <c r="M1471" s="32">
        <v>0.37</v>
      </c>
      <c r="N1471" s="27" t="s">
        <v>33</v>
      </c>
      <c r="O1471" s="27" t="s">
        <v>60</v>
      </c>
      <c r="P1471" s="27" t="s">
        <v>90</v>
      </c>
      <c r="Q1471" s="27" t="s">
        <v>2528</v>
      </c>
      <c r="R1471" s="33">
        <v>94952</v>
      </c>
      <c r="S1471" s="34">
        <v>42140</v>
      </c>
      <c r="T1471" s="34">
        <v>42141</v>
      </c>
      <c r="U1471" s="29">
        <v>3.04</v>
      </c>
      <c r="V1471" s="26">
        <v>5</v>
      </c>
      <c r="W1471" s="29">
        <v>101.74</v>
      </c>
      <c r="X1471" s="26">
        <v>88534</v>
      </c>
      <c r="Y1471" s="35">
        <v>28.5</v>
      </c>
      <c r="Z1471" s="1" t="s">
        <v>3013</v>
      </c>
      <c r="AA1471" s="36">
        <v>3.7939999999999996</v>
      </c>
      <c r="AB1471" s="54">
        <v>64.096199999999996</v>
      </c>
      <c r="AC1471" s="54">
        <v>7.5287599999999992</v>
      </c>
      <c r="AD1471" s="36">
        <v>85.366</v>
      </c>
    </row>
    <row r="1472" spans="1:30" s="37" customFormat="1" ht="15.75" customHeight="1" x14ac:dyDescent="0.2">
      <c r="A1472" s="26">
        <v>1042</v>
      </c>
      <c r="B1472" s="27" t="s">
        <v>2529</v>
      </c>
      <c r="C1472" s="27" t="s">
        <v>26</v>
      </c>
      <c r="D1472" s="28">
        <v>0</v>
      </c>
      <c r="E1472" s="29">
        <v>14.42</v>
      </c>
      <c r="F1472" s="29">
        <v>6.75</v>
      </c>
      <c r="G1472" s="30" t="s">
        <v>87</v>
      </c>
      <c r="H1472" s="27" t="s">
        <v>3095</v>
      </c>
      <c r="I1472" s="27" t="s">
        <v>49</v>
      </c>
      <c r="J1472" s="27" t="s">
        <v>95</v>
      </c>
      <c r="K1472" s="27" t="s">
        <v>144</v>
      </c>
      <c r="L1472" s="31" t="s">
        <v>409</v>
      </c>
      <c r="M1472" s="32">
        <v>0.52</v>
      </c>
      <c r="N1472" s="27" t="s">
        <v>33</v>
      </c>
      <c r="O1472" s="27" t="s">
        <v>60</v>
      </c>
      <c r="P1472" s="27" t="s">
        <v>90</v>
      </c>
      <c r="Q1472" s="27" t="s">
        <v>2530</v>
      </c>
      <c r="R1472" s="33">
        <v>95991</v>
      </c>
      <c r="S1472" s="34">
        <v>42140</v>
      </c>
      <c r="T1472" s="34">
        <v>42141</v>
      </c>
      <c r="U1472" s="29">
        <v>9.33</v>
      </c>
      <c r="V1472" s="26">
        <v>6</v>
      </c>
      <c r="W1472" s="29">
        <v>98.96</v>
      </c>
      <c r="X1472" s="26">
        <v>87847</v>
      </c>
      <c r="Y1472" s="35">
        <v>5.91</v>
      </c>
      <c r="Z1472" s="1" t="s">
        <v>3013</v>
      </c>
      <c r="AA1472" s="36">
        <v>0</v>
      </c>
      <c r="AB1472" s="54">
        <v>47.500799999999998</v>
      </c>
      <c r="AC1472" s="54">
        <v>8.5765333333333338</v>
      </c>
      <c r="AD1472" s="36">
        <v>82.88</v>
      </c>
    </row>
    <row r="1473" spans="1:30" s="37" customFormat="1" ht="15.75" customHeight="1" x14ac:dyDescent="0.2">
      <c r="A1473" s="26">
        <v>136</v>
      </c>
      <c r="B1473" s="27" t="s">
        <v>2527</v>
      </c>
      <c r="C1473" s="27" t="s">
        <v>26</v>
      </c>
      <c r="D1473" s="28">
        <v>0.09</v>
      </c>
      <c r="E1473" s="29">
        <v>10.98</v>
      </c>
      <c r="F1473" s="29">
        <v>3.37</v>
      </c>
      <c r="G1473" s="30" t="s">
        <v>39</v>
      </c>
      <c r="H1473" s="27" t="s">
        <v>3095</v>
      </c>
      <c r="I1473" s="27" t="s">
        <v>49</v>
      </c>
      <c r="J1473" s="27" t="s">
        <v>568</v>
      </c>
      <c r="K1473" s="27" t="s">
        <v>43</v>
      </c>
      <c r="L1473" s="31" t="s">
        <v>2129</v>
      </c>
      <c r="M1473" s="32">
        <v>0.56999999999999995</v>
      </c>
      <c r="N1473" s="27" t="s">
        <v>33</v>
      </c>
      <c r="O1473" s="27" t="s">
        <v>60</v>
      </c>
      <c r="P1473" s="27" t="s">
        <v>90</v>
      </c>
      <c r="Q1473" s="27" t="s">
        <v>2528</v>
      </c>
      <c r="R1473" s="33">
        <v>94952</v>
      </c>
      <c r="S1473" s="34">
        <v>42140</v>
      </c>
      <c r="T1473" s="34">
        <v>42141</v>
      </c>
      <c r="U1473" s="29">
        <v>2.706</v>
      </c>
      <c r="V1473" s="26">
        <v>8</v>
      </c>
      <c r="W1473" s="29">
        <v>84.52</v>
      </c>
      <c r="X1473" s="26">
        <v>88534</v>
      </c>
      <c r="Y1473" s="35">
        <v>35.92</v>
      </c>
      <c r="Z1473" s="1" t="s">
        <v>3013</v>
      </c>
      <c r="AA1473" s="36">
        <v>7.9055999999999997</v>
      </c>
      <c r="AB1473" s="54">
        <v>36.343600000000002</v>
      </c>
      <c r="AC1473" s="54">
        <v>6.0220499999999992</v>
      </c>
      <c r="AD1473" s="36">
        <v>70.538399999999996</v>
      </c>
    </row>
    <row r="1474" spans="1:30" s="37" customFormat="1" ht="15.75" customHeight="1" x14ac:dyDescent="0.2">
      <c r="A1474" s="26">
        <v>2610</v>
      </c>
      <c r="B1474" s="27" t="s">
        <v>2537</v>
      </c>
      <c r="C1474" s="27" t="s">
        <v>38</v>
      </c>
      <c r="D1474" s="28">
        <v>0.09</v>
      </c>
      <c r="E1474" s="29">
        <v>5.4</v>
      </c>
      <c r="F1474" s="29">
        <v>7.78</v>
      </c>
      <c r="G1474" s="30" t="s">
        <v>39</v>
      </c>
      <c r="H1474" s="27" t="s">
        <v>94</v>
      </c>
      <c r="I1474" s="27" t="s">
        <v>49</v>
      </c>
      <c r="J1474" s="27" t="s">
        <v>72</v>
      </c>
      <c r="K1474" s="27" t="s">
        <v>73</v>
      </c>
      <c r="L1474" s="31" t="s">
        <v>1484</v>
      </c>
      <c r="M1474" s="32">
        <v>0.37</v>
      </c>
      <c r="N1474" s="27" t="s">
        <v>33</v>
      </c>
      <c r="O1474" s="27" t="s">
        <v>60</v>
      </c>
      <c r="P1474" s="27" t="s">
        <v>90</v>
      </c>
      <c r="Q1474" s="27" t="s">
        <v>2295</v>
      </c>
      <c r="R1474" s="33">
        <v>95616</v>
      </c>
      <c r="S1474" s="34">
        <v>42140</v>
      </c>
      <c r="T1474" s="34">
        <v>42141</v>
      </c>
      <c r="U1474" s="29">
        <v>-136.25200000000001</v>
      </c>
      <c r="V1474" s="26">
        <v>9</v>
      </c>
      <c r="W1474" s="29">
        <v>49.24</v>
      </c>
      <c r="X1474" s="26">
        <v>86118</v>
      </c>
      <c r="Y1474" s="35">
        <v>65.91</v>
      </c>
      <c r="Z1474" s="1" t="s">
        <v>3013</v>
      </c>
      <c r="AA1474" s="36">
        <v>4.3739999999999997</v>
      </c>
      <c r="AB1474" s="54">
        <v>31.0212</v>
      </c>
      <c r="AC1474" s="54">
        <v>2.024311111111111</v>
      </c>
      <c r="AD1474" s="36">
        <v>173.33800000000002</v>
      </c>
    </row>
    <row r="1475" spans="1:30" s="37" customFormat="1" ht="15.75" customHeight="1" x14ac:dyDescent="0.2">
      <c r="A1475" s="26">
        <v>3354</v>
      </c>
      <c r="B1475" s="27" t="s">
        <v>1893</v>
      </c>
      <c r="C1475" s="27" t="s">
        <v>38</v>
      </c>
      <c r="D1475" s="28">
        <v>7.0000000000000007E-2</v>
      </c>
      <c r="E1475" s="29">
        <v>5.98</v>
      </c>
      <c r="F1475" s="29">
        <v>7.15</v>
      </c>
      <c r="G1475" s="30" t="s">
        <v>39</v>
      </c>
      <c r="H1475" s="27" t="s">
        <v>94</v>
      </c>
      <c r="I1475" s="27" t="s">
        <v>49</v>
      </c>
      <c r="J1475" s="27" t="s">
        <v>88</v>
      </c>
      <c r="K1475" s="27" t="s">
        <v>73</v>
      </c>
      <c r="L1475" s="31" t="s">
        <v>2538</v>
      </c>
      <c r="M1475" s="32">
        <v>0.36</v>
      </c>
      <c r="N1475" s="27" t="s">
        <v>33</v>
      </c>
      <c r="O1475" s="27" t="s">
        <v>60</v>
      </c>
      <c r="P1475" s="27" t="s">
        <v>90</v>
      </c>
      <c r="Q1475" s="27" t="s">
        <v>1895</v>
      </c>
      <c r="R1475" s="33">
        <v>92231</v>
      </c>
      <c r="S1475" s="34">
        <v>42140</v>
      </c>
      <c r="T1475" s="34">
        <v>42142</v>
      </c>
      <c r="U1475" s="29">
        <v>-62</v>
      </c>
      <c r="V1475" s="26">
        <v>6</v>
      </c>
      <c r="W1475" s="29">
        <v>37.049999999999997</v>
      </c>
      <c r="X1475" s="26">
        <v>88589</v>
      </c>
      <c r="Y1475" s="35">
        <v>7.2700000000000005</v>
      </c>
      <c r="Z1475" s="1" t="s">
        <v>3013</v>
      </c>
      <c r="AA1475" s="36">
        <v>2.5116000000000005</v>
      </c>
      <c r="AB1475" s="54">
        <v>23.712</v>
      </c>
      <c r="AC1475" s="54">
        <v>2.2229999999999999</v>
      </c>
      <c r="AD1475" s="36">
        <v>89.38839999999999</v>
      </c>
    </row>
    <row r="1476" spans="1:30" s="37" customFormat="1" ht="15.75" customHeight="1" x14ac:dyDescent="0.2">
      <c r="A1476" s="26">
        <v>1906</v>
      </c>
      <c r="B1476" s="27" t="s">
        <v>2547</v>
      </c>
      <c r="C1476" s="27" t="s">
        <v>48</v>
      </c>
      <c r="D1476" s="28">
        <v>7.0000000000000007E-2</v>
      </c>
      <c r="E1476" s="29">
        <v>172.99</v>
      </c>
      <c r="F1476" s="29">
        <v>19.989999999999998</v>
      </c>
      <c r="G1476" s="30" t="s">
        <v>39</v>
      </c>
      <c r="H1476" s="27" t="s">
        <v>94</v>
      </c>
      <c r="I1476" s="27" t="s">
        <v>49</v>
      </c>
      <c r="J1476" s="27" t="s">
        <v>72</v>
      </c>
      <c r="K1476" s="27" t="s">
        <v>73</v>
      </c>
      <c r="L1476" s="31" t="s">
        <v>2548</v>
      </c>
      <c r="M1476" s="32">
        <v>0.39</v>
      </c>
      <c r="N1476" s="27" t="s">
        <v>33</v>
      </c>
      <c r="O1476" s="27" t="s">
        <v>111</v>
      </c>
      <c r="P1476" s="27" t="s">
        <v>317</v>
      </c>
      <c r="Q1476" s="27" t="s">
        <v>2019</v>
      </c>
      <c r="R1476" s="33">
        <v>45801</v>
      </c>
      <c r="S1476" s="34">
        <v>42141</v>
      </c>
      <c r="T1476" s="34">
        <v>42141</v>
      </c>
      <c r="U1476" s="29">
        <v>2502.6851999999999</v>
      </c>
      <c r="V1476" s="26">
        <v>22</v>
      </c>
      <c r="W1476" s="29">
        <v>3627.08</v>
      </c>
      <c r="X1476" s="26">
        <v>86500</v>
      </c>
      <c r="Y1476" s="35">
        <v>19.77</v>
      </c>
      <c r="Z1476" s="1" t="s">
        <v>3014</v>
      </c>
      <c r="AA1476" s="36">
        <v>266.40460000000002</v>
      </c>
      <c r="AB1476" s="54">
        <v>2212.5187999999998</v>
      </c>
      <c r="AC1476" s="54">
        <v>64.298236363636363</v>
      </c>
      <c r="AD1476" s="36">
        <v>838.0002000000004</v>
      </c>
    </row>
    <row r="1477" spans="1:30" s="37" customFormat="1" ht="15.75" customHeight="1" x14ac:dyDescent="0.2">
      <c r="A1477" s="26">
        <v>3132</v>
      </c>
      <c r="B1477" s="27" t="s">
        <v>2552</v>
      </c>
      <c r="C1477" s="27" t="s">
        <v>116</v>
      </c>
      <c r="D1477" s="28">
        <v>0.04</v>
      </c>
      <c r="E1477" s="29">
        <v>62.05</v>
      </c>
      <c r="F1477" s="29">
        <v>3.99</v>
      </c>
      <c r="G1477" s="30" t="s">
        <v>39</v>
      </c>
      <c r="H1477" s="27" t="s">
        <v>94</v>
      </c>
      <c r="I1477" s="27" t="s">
        <v>49</v>
      </c>
      <c r="J1477" s="27" t="s">
        <v>95</v>
      </c>
      <c r="K1477" s="27" t="s">
        <v>73</v>
      </c>
      <c r="L1477" s="31" t="s">
        <v>2553</v>
      </c>
      <c r="M1477" s="32">
        <v>0.55000000000000004</v>
      </c>
      <c r="N1477" s="27" t="s">
        <v>33</v>
      </c>
      <c r="O1477" s="27" t="s">
        <v>53</v>
      </c>
      <c r="P1477" s="27" t="s">
        <v>103</v>
      </c>
      <c r="Q1477" s="27" t="s">
        <v>2554</v>
      </c>
      <c r="R1477" s="33">
        <v>60060</v>
      </c>
      <c r="S1477" s="34">
        <v>42141</v>
      </c>
      <c r="T1477" s="34">
        <v>42142</v>
      </c>
      <c r="U1477" s="29">
        <v>1644.0768</v>
      </c>
      <c r="V1477" s="26">
        <v>40</v>
      </c>
      <c r="W1477" s="29">
        <v>2382.7199999999998</v>
      </c>
      <c r="X1477" s="26">
        <v>86794</v>
      </c>
      <c r="Y1477" s="35">
        <v>8.27</v>
      </c>
      <c r="Z1477" s="1" t="s">
        <v>3012</v>
      </c>
      <c r="AA1477" s="36">
        <v>99.279999999999987</v>
      </c>
      <c r="AB1477" s="54">
        <v>1072.2239999999997</v>
      </c>
      <c r="AC1477" s="54">
        <v>32.7624</v>
      </c>
      <c r="AD1477" s="36">
        <v>635.37319999999977</v>
      </c>
    </row>
    <row r="1478" spans="1:30" s="37" customFormat="1" ht="15.75" customHeight="1" x14ac:dyDescent="0.2">
      <c r="A1478" s="26">
        <v>3113</v>
      </c>
      <c r="B1478" s="27" t="s">
        <v>2555</v>
      </c>
      <c r="C1478" s="27" t="s">
        <v>3094</v>
      </c>
      <c r="D1478" s="28">
        <v>7.0000000000000007E-2</v>
      </c>
      <c r="E1478" s="29">
        <v>34.54</v>
      </c>
      <c r="F1478" s="29">
        <v>14.72</v>
      </c>
      <c r="G1478" s="30" t="s">
        <v>39</v>
      </c>
      <c r="H1478" s="27" t="s">
        <v>94</v>
      </c>
      <c r="I1478" s="27" t="s">
        <v>49</v>
      </c>
      <c r="J1478" s="27" t="s">
        <v>72</v>
      </c>
      <c r="K1478" s="27" t="s">
        <v>73</v>
      </c>
      <c r="L1478" s="31" t="s">
        <v>2556</v>
      </c>
      <c r="M1478" s="32">
        <v>0.37</v>
      </c>
      <c r="N1478" s="27" t="s">
        <v>33</v>
      </c>
      <c r="O1478" s="27" t="s">
        <v>34</v>
      </c>
      <c r="P1478" s="27" t="s">
        <v>168</v>
      </c>
      <c r="Q1478" s="27" t="s">
        <v>2557</v>
      </c>
      <c r="R1478" s="33">
        <v>70560</v>
      </c>
      <c r="S1478" s="34">
        <v>42141</v>
      </c>
      <c r="T1478" s="34">
        <v>42142</v>
      </c>
      <c r="U1478" s="29">
        <v>-20.182259999999999</v>
      </c>
      <c r="V1478" s="26">
        <v>17</v>
      </c>
      <c r="W1478" s="29">
        <v>574.97</v>
      </c>
      <c r="X1478" s="26">
        <v>86860</v>
      </c>
      <c r="Y1478" s="35">
        <v>4.8900000000000006</v>
      </c>
      <c r="Z1478" s="1" t="s">
        <v>3011</v>
      </c>
      <c r="AA1478" s="36">
        <v>41.102600000000002</v>
      </c>
      <c r="AB1478" s="54">
        <v>362.23110000000003</v>
      </c>
      <c r="AC1478" s="54">
        <v>12.51405294117647</v>
      </c>
      <c r="AD1478" s="36">
        <v>539.32965999999999</v>
      </c>
    </row>
    <row r="1479" spans="1:30" s="37" customFormat="1" ht="15.75" customHeight="1" x14ac:dyDescent="0.2">
      <c r="A1479" s="26">
        <v>3113</v>
      </c>
      <c r="B1479" s="27" t="s">
        <v>2555</v>
      </c>
      <c r="C1479" s="27" t="s">
        <v>3094</v>
      </c>
      <c r="D1479" s="28">
        <v>0.06</v>
      </c>
      <c r="E1479" s="29">
        <v>34.58</v>
      </c>
      <c r="F1479" s="29">
        <v>8.99</v>
      </c>
      <c r="G1479" s="30" t="s">
        <v>87</v>
      </c>
      <c r="H1479" s="27" t="s">
        <v>94</v>
      </c>
      <c r="I1479" s="27" t="s">
        <v>49</v>
      </c>
      <c r="J1479" s="27" t="s">
        <v>50</v>
      </c>
      <c r="K1479" s="27" t="s">
        <v>43</v>
      </c>
      <c r="L1479" s="31" t="s">
        <v>2559</v>
      </c>
      <c r="M1479" s="32">
        <v>0.56000000000000005</v>
      </c>
      <c r="N1479" s="27" t="s">
        <v>33</v>
      </c>
      <c r="O1479" s="27" t="s">
        <v>34</v>
      </c>
      <c r="P1479" s="27" t="s">
        <v>168</v>
      </c>
      <c r="Q1479" s="27" t="s">
        <v>2557</v>
      </c>
      <c r="R1479" s="33">
        <v>70560</v>
      </c>
      <c r="S1479" s="34">
        <v>42141</v>
      </c>
      <c r="T1479" s="34">
        <v>42143</v>
      </c>
      <c r="U1479" s="29">
        <v>384.5043</v>
      </c>
      <c r="V1479" s="26">
        <v>13</v>
      </c>
      <c r="W1479" s="29">
        <v>456.58</v>
      </c>
      <c r="X1479" s="26">
        <v>86860</v>
      </c>
      <c r="Y1479" s="35">
        <v>4.04</v>
      </c>
      <c r="Z1479" s="1" t="s">
        <v>3011</v>
      </c>
      <c r="AA1479" s="36">
        <v>26.972399999999997</v>
      </c>
      <c r="AB1479" s="54">
        <v>200.89519999999996</v>
      </c>
      <c r="AC1479" s="54">
        <v>19.66806153846154</v>
      </c>
      <c r="AD1479" s="36">
        <v>36.113299999999981</v>
      </c>
    </row>
    <row r="1480" spans="1:30" s="37" customFormat="1" ht="15.75" customHeight="1" x14ac:dyDescent="0.2">
      <c r="A1480" s="26">
        <v>772</v>
      </c>
      <c r="B1480" s="27" t="s">
        <v>476</v>
      </c>
      <c r="C1480" s="27" t="s">
        <v>48</v>
      </c>
      <c r="D1480" s="28">
        <v>7.0000000000000007E-2</v>
      </c>
      <c r="E1480" s="29">
        <v>9.49</v>
      </c>
      <c r="F1480" s="29">
        <v>5.76</v>
      </c>
      <c r="G1480" s="30" t="s">
        <v>39</v>
      </c>
      <c r="H1480" s="27" t="s">
        <v>3095</v>
      </c>
      <c r="I1480" s="27" t="s">
        <v>41</v>
      </c>
      <c r="J1480" s="27" t="s">
        <v>57</v>
      </c>
      <c r="K1480" s="27" t="s">
        <v>144</v>
      </c>
      <c r="L1480" s="31" t="s">
        <v>2546</v>
      </c>
      <c r="M1480" s="32">
        <v>0.39</v>
      </c>
      <c r="N1480" s="27" t="s">
        <v>33</v>
      </c>
      <c r="O1480" s="27" t="s">
        <v>111</v>
      </c>
      <c r="P1480" s="27" t="s">
        <v>320</v>
      </c>
      <c r="Q1480" s="27" t="s">
        <v>478</v>
      </c>
      <c r="R1480" s="33">
        <v>18103</v>
      </c>
      <c r="S1480" s="34">
        <v>42141</v>
      </c>
      <c r="T1480" s="34">
        <v>42145</v>
      </c>
      <c r="U1480" s="29">
        <v>7.71516</v>
      </c>
      <c r="V1480" s="26">
        <v>37</v>
      </c>
      <c r="W1480" s="29">
        <v>344.57</v>
      </c>
      <c r="X1480" s="26">
        <v>88668</v>
      </c>
      <c r="Y1480" s="35">
        <v>9.42</v>
      </c>
      <c r="Z1480" s="1" t="s">
        <v>3014</v>
      </c>
      <c r="AA1480" s="36">
        <v>24.579100000000004</v>
      </c>
      <c r="AB1480" s="54">
        <v>210.18769999999998</v>
      </c>
      <c r="AC1480" s="54">
        <v>3.6319540540540545</v>
      </c>
      <c r="AD1480" s="36">
        <v>306.51573999999999</v>
      </c>
    </row>
    <row r="1481" spans="1:30" s="37" customFormat="1" ht="15.75" customHeight="1" x14ac:dyDescent="0.2">
      <c r="A1481" s="26">
        <v>91</v>
      </c>
      <c r="B1481" s="27" t="s">
        <v>1246</v>
      </c>
      <c r="C1481" s="27" t="s">
        <v>38</v>
      </c>
      <c r="D1481" s="28">
        <v>7.0000000000000007E-2</v>
      </c>
      <c r="E1481" s="29">
        <v>19.84</v>
      </c>
      <c r="F1481" s="29">
        <v>4.0999999999999996</v>
      </c>
      <c r="G1481" s="30" t="s">
        <v>39</v>
      </c>
      <c r="H1481" s="27" t="s">
        <v>71</v>
      </c>
      <c r="I1481" s="27" t="s">
        <v>49</v>
      </c>
      <c r="J1481" s="27" t="s">
        <v>50</v>
      </c>
      <c r="K1481" s="27" t="s">
        <v>51</v>
      </c>
      <c r="L1481" s="31" t="s">
        <v>2542</v>
      </c>
      <c r="M1481" s="32">
        <v>0.44</v>
      </c>
      <c r="N1481" s="27" t="s">
        <v>33</v>
      </c>
      <c r="O1481" s="27" t="s">
        <v>60</v>
      </c>
      <c r="P1481" s="27" t="s">
        <v>90</v>
      </c>
      <c r="Q1481" s="27" t="s">
        <v>1247</v>
      </c>
      <c r="R1481" s="33">
        <v>94591</v>
      </c>
      <c r="S1481" s="34">
        <v>42141</v>
      </c>
      <c r="T1481" s="34">
        <v>42142</v>
      </c>
      <c r="U1481" s="29">
        <v>117.852</v>
      </c>
      <c r="V1481" s="26">
        <v>9</v>
      </c>
      <c r="W1481" s="29">
        <v>170.8</v>
      </c>
      <c r="X1481" s="26">
        <v>87175</v>
      </c>
      <c r="Y1481" s="35">
        <v>172.92000000000002</v>
      </c>
      <c r="Z1481" s="1" t="s">
        <v>3013</v>
      </c>
      <c r="AA1481" s="36">
        <v>12.4992</v>
      </c>
      <c r="AB1481" s="54">
        <v>95.64800000000001</v>
      </c>
      <c r="AC1481" s="54">
        <v>8.3502222222222215</v>
      </c>
      <c r="AD1481" s="36">
        <v>36.348800000000011</v>
      </c>
    </row>
    <row r="1482" spans="1:30" s="37" customFormat="1" ht="15.75" customHeight="1" x14ac:dyDescent="0.2">
      <c r="A1482" s="26">
        <v>92</v>
      </c>
      <c r="B1482" s="27" t="s">
        <v>2543</v>
      </c>
      <c r="C1482" s="27" t="s">
        <v>38</v>
      </c>
      <c r="D1482" s="28">
        <v>7.0000000000000007E-2</v>
      </c>
      <c r="E1482" s="29">
        <v>8.34</v>
      </c>
      <c r="F1482" s="29">
        <v>1.43</v>
      </c>
      <c r="G1482" s="30" t="s">
        <v>39</v>
      </c>
      <c r="H1482" s="27" t="s">
        <v>71</v>
      </c>
      <c r="I1482" s="27" t="s">
        <v>49</v>
      </c>
      <c r="J1482" s="27" t="s">
        <v>88</v>
      </c>
      <c r="K1482" s="27" t="s">
        <v>51</v>
      </c>
      <c r="L1482" s="31" t="s">
        <v>2544</v>
      </c>
      <c r="M1482" s="32">
        <v>0.35</v>
      </c>
      <c r="N1482" s="27" t="s">
        <v>33</v>
      </c>
      <c r="O1482" s="27" t="s">
        <v>34</v>
      </c>
      <c r="P1482" s="27" t="s">
        <v>168</v>
      </c>
      <c r="Q1482" s="27" t="s">
        <v>2545</v>
      </c>
      <c r="R1482" s="33">
        <v>70056</v>
      </c>
      <c r="S1482" s="34">
        <v>42141</v>
      </c>
      <c r="T1482" s="34">
        <v>42143</v>
      </c>
      <c r="U1482" s="29">
        <v>-190.68</v>
      </c>
      <c r="V1482" s="26">
        <v>16</v>
      </c>
      <c r="W1482" s="29">
        <v>132.08000000000001</v>
      </c>
      <c r="X1482" s="26">
        <v>87175</v>
      </c>
      <c r="Y1482" s="35">
        <v>7.55</v>
      </c>
      <c r="Z1482" s="1" t="s">
        <v>3011</v>
      </c>
      <c r="AA1482" s="36">
        <v>9.3408000000000015</v>
      </c>
      <c r="AB1482" s="54">
        <v>85.852000000000018</v>
      </c>
      <c r="AC1482" s="54">
        <v>2.8892500000000001</v>
      </c>
      <c r="AD1482" s="36">
        <v>311.98919999999998</v>
      </c>
    </row>
    <row r="1483" spans="1:30" s="37" customFormat="1" ht="15.75" customHeight="1" x14ac:dyDescent="0.2">
      <c r="A1483" s="26">
        <v>3113</v>
      </c>
      <c r="B1483" s="27" t="s">
        <v>2555</v>
      </c>
      <c r="C1483" s="27" t="s">
        <v>3094</v>
      </c>
      <c r="D1483" s="28">
        <v>0.02</v>
      </c>
      <c r="E1483" s="29">
        <v>12.28</v>
      </c>
      <c r="F1483" s="29">
        <v>6.47</v>
      </c>
      <c r="G1483" s="30" t="s">
        <v>39</v>
      </c>
      <c r="H1483" s="27" t="s">
        <v>94</v>
      </c>
      <c r="I1483" s="27" t="s">
        <v>49</v>
      </c>
      <c r="J1483" s="27" t="s">
        <v>88</v>
      </c>
      <c r="K1483" s="27" t="s">
        <v>73</v>
      </c>
      <c r="L1483" s="31" t="s">
        <v>2558</v>
      </c>
      <c r="M1483" s="32">
        <v>0.38</v>
      </c>
      <c r="N1483" s="27" t="s">
        <v>33</v>
      </c>
      <c r="O1483" s="27" t="s">
        <v>34</v>
      </c>
      <c r="P1483" s="27" t="s">
        <v>168</v>
      </c>
      <c r="Q1483" s="27" t="s">
        <v>2557</v>
      </c>
      <c r="R1483" s="33">
        <v>70560</v>
      </c>
      <c r="S1483" s="34">
        <v>42141</v>
      </c>
      <c r="T1483" s="34">
        <v>42141</v>
      </c>
      <c r="U1483" s="29">
        <v>-156.97219999999999</v>
      </c>
      <c r="V1483" s="26">
        <v>9</v>
      </c>
      <c r="W1483" s="29">
        <v>115.22</v>
      </c>
      <c r="X1483" s="26">
        <v>86860</v>
      </c>
      <c r="Y1483" s="35">
        <v>2.88</v>
      </c>
      <c r="Z1483" s="1" t="s">
        <v>3011</v>
      </c>
      <c r="AA1483" s="36">
        <v>2.2103999999999999</v>
      </c>
      <c r="AB1483" s="54">
        <v>71.436399999999992</v>
      </c>
      <c r="AC1483" s="54">
        <v>4.8648444444444445</v>
      </c>
      <c r="AD1483" s="36">
        <v>263.51179999999999</v>
      </c>
    </row>
    <row r="1484" spans="1:30" s="37" customFormat="1" ht="15.75" customHeight="1" x14ac:dyDescent="0.2">
      <c r="A1484" s="26">
        <v>772</v>
      </c>
      <c r="B1484" s="27" t="s">
        <v>476</v>
      </c>
      <c r="C1484" s="27" t="s">
        <v>48</v>
      </c>
      <c r="D1484" s="28">
        <v>0.02</v>
      </c>
      <c r="E1484" s="29">
        <v>4.0599999999999996</v>
      </c>
      <c r="F1484" s="29">
        <v>6.89</v>
      </c>
      <c r="G1484" s="30" t="s">
        <v>87</v>
      </c>
      <c r="H1484" s="27" t="s">
        <v>3095</v>
      </c>
      <c r="I1484" s="27" t="s">
        <v>49</v>
      </c>
      <c r="J1484" s="27" t="s">
        <v>95</v>
      </c>
      <c r="K1484" s="27" t="s">
        <v>73</v>
      </c>
      <c r="L1484" s="31" t="s">
        <v>1271</v>
      </c>
      <c r="M1484" s="32">
        <v>0.6</v>
      </c>
      <c r="N1484" s="27" t="s">
        <v>33</v>
      </c>
      <c r="O1484" s="27" t="s">
        <v>111</v>
      </c>
      <c r="P1484" s="27" t="s">
        <v>320</v>
      </c>
      <c r="Q1484" s="27" t="s">
        <v>478</v>
      </c>
      <c r="R1484" s="33">
        <v>18103</v>
      </c>
      <c r="S1484" s="34">
        <v>42141</v>
      </c>
      <c r="T1484" s="34">
        <v>42145</v>
      </c>
      <c r="U1484" s="29">
        <v>12.706</v>
      </c>
      <c r="V1484" s="26">
        <v>12</v>
      </c>
      <c r="W1484" s="29">
        <v>64.41</v>
      </c>
      <c r="X1484" s="26">
        <v>88668</v>
      </c>
      <c r="Y1484" s="35">
        <v>62.01</v>
      </c>
      <c r="Z1484" s="1" t="s">
        <v>3014</v>
      </c>
      <c r="AA1484" s="36">
        <v>0.97439999999999993</v>
      </c>
      <c r="AB1484" s="54">
        <v>25.763999999999999</v>
      </c>
      <c r="AC1484" s="54">
        <v>3.2204999999999999</v>
      </c>
      <c r="AD1484" s="36">
        <v>43.839599999999997</v>
      </c>
    </row>
    <row r="1485" spans="1:30" s="37" customFormat="1" ht="15.75" customHeight="1" x14ac:dyDescent="0.2">
      <c r="A1485" s="26">
        <v>92</v>
      </c>
      <c r="B1485" s="27" t="s">
        <v>2543</v>
      </c>
      <c r="C1485" s="27" t="s">
        <v>38</v>
      </c>
      <c r="D1485" s="28">
        <v>0.09</v>
      </c>
      <c r="E1485" s="29">
        <v>4.9800000000000004</v>
      </c>
      <c r="F1485" s="29">
        <v>6.07</v>
      </c>
      <c r="G1485" s="30" t="s">
        <v>39</v>
      </c>
      <c r="H1485" s="27" t="s">
        <v>71</v>
      </c>
      <c r="I1485" s="27" t="s">
        <v>49</v>
      </c>
      <c r="J1485" s="27" t="s">
        <v>88</v>
      </c>
      <c r="K1485" s="27" t="s">
        <v>73</v>
      </c>
      <c r="L1485" s="31" t="s">
        <v>787</v>
      </c>
      <c r="M1485" s="32">
        <v>0.36</v>
      </c>
      <c r="N1485" s="27" t="s">
        <v>33</v>
      </c>
      <c r="O1485" s="27" t="s">
        <v>34</v>
      </c>
      <c r="P1485" s="27" t="s">
        <v>168</v>
      </c>
      <c r="Q1485" s="27" t="s">
        <v>2545</v>
      </c>
      <c r="R1485" s="33">
        <v>70056</v>
      </c>
      <c r="S1485" s="34">
        <v>42141</v>
      </c>
      <c r="T1485" s="34">
        <v>42142</v>
      </c>
      <c r="U1485" s="29">
        <v>325.39800000000002</v>
      </c>
      <c r="V1485" s="26">
        <v>9</v>
      </c>
      <c r="W1485" s="29">
        <v>45.34</v>
      </c>
      <c r="X1485" s="26">
        <v>87175</v>
      </c>
      <c r="Y1485" s="35">
        <v>34.47</v>
      </c>
      <c r="Z1485" s="1" t="s">
        <v>3011</v>
      </c>
      <c r="AA1485" s="36">
        <v>4.0338000000000003</v>
      </c>
      <c r="AB1485" s="54">
        <v>29.017600000000002</v>
      </c>
      <c r="AC1485" s="54">
        <v>1.8136000000000001</v>
      </c>
      <c r="AD1485" s="36">
        <v>-290.16179999999997</v>
      </c>
    </row>
    <row r="1486" spans="1:30" s="37" customFormat="1" ht="15.75" customHeight="1" x14ac:dyDescent="0.2">
      <c r="A1486" s="26">
        <v>2858</v>
      </c>
      <c r="B1486" s="27" t="s">
        <v>2551</v>
      </c>
      <c r="C1486" s="27" t="s">
        <v>116</v>
      </c>
      <c r="D1486" s="28">
        <v>0.06</v>
      </c>
      <c r="E1486" s="29">
        <v>2.94</v>
      </c>
      <c r="F1486" s="29">
        <v>0.96</v>
      </c>
      <c r="G1486" s="30" t="s">
        <v>39</v>
      </c>
      <c r="H1486" s="27" t="s">
        <v>94</v>
      </c>
      <c r="I1486" s="27" t="s">
        <v>49</v>
      </c>
      <c r="J1486" s="27" t="s">
        <v>50</v>
      </c>
      <c r="K1486" s="27" t="s">
        <v>51</v>
      </c>
      <c r="L1486" s="31" t="s">
        <v>829</v>
      </c>
      <c r="M1486" s="32">
        <v>0.57999999999999996</v>
      </c>
      <c r="N1486" s="27" t="s">
        <v>33</v>
      </c>
      <c r="O1486" s="27" t="s">
        <v>34</v>
      </c>
      <c r="P1486" s="27" t="s">
        <v>123</v>
      </c>
      <c r="Q1486" s="27" t="s">
        <v>1363</v>
      </c>
      <c r="R1486" s="33">
        <v>32259</v>
      </c>
      <c r="S1486" s="34">
        <v>42141</v>
      </c>
      <c r="T1486" s="34">
        <v>42142</v>
      </c>
      <c r="U1486" s="29">
        <v>-8.8759999999999994</v>
      </c>
      <c r="V1486" s="26">
        <v>3</v>
      </c>
      <c r="W1486" s="29">
        <v>8.7899999999999991</v>
      </c>
      <c r="X1486" s="26">
        <v>88279</v>
      </c>
      <c r="Y1486" s="35">
        <v>12.26</v>
      </c>
      <c r="Z1486" s="1" t="s">
        <v>3011</v>
      </c>
      <c r="AA1486" s="36">
        <v>0.5292</v>
      </c>
      <c r="AB1486" s="54">
        <v>3.6918000000000002</v>
      </c>
      <c r="AC1486" s="54">
        <v>1.6993999999999998</v>
      </c>
      <c r="AD1486" s="36">
        <v>16.1768</v>
      </c>
    </row>
    <row r="1487" spans="1:30" s="37" customFormat="1" ht="15.75" customHeight="1" x14ac:dyDescent="0.2">
      <c r="A1487" s="26">
        <v>1907</v>
      </c>
      <c r="B1487" s="27" t="s">
        <v>2549</v>
      </c>
      <c r="C1487" s="27" t="s">
        <v>48</v>
      </c>
      <c r="D1487" s="28">
        <v>0.09</v>
      </c>
      <c r="E1487" s="29">
        <v>7.64</v>
      </c>
      <c r="F1487" s="29">
        <v>1.39</v>
      </c>
      <c r="G1487" s="30" t="s">
        <v>39</v>
      </c>
      <c r="H1487" s="27" t="s">
        <v>94</v>
      </c>
      <c r="I1487" s="27" t="s">
        <v>49</v>
      </c>
      <c r="J1487" s="27" t="s">
        <v>345</v>
      </c>
      <c r="K1487" s="27" t="s">
        <v>73</v>
      </c>
      <c r="L1487" s="31" t="s">
        <v>1558</v>
      </c>
      <c r="M1487" s="32">
        <v>0.36</v>
      </c>
      <c r="N1487" s="27" t="s">
        <v>33</v>
      </c>
      <c r="O1487" s="27" t="s">
        <v>111</v>
      </c>
      <c r="P1487" s="27" t="s">
        <v>317</v>
      </c>
      <c r="Q1487" s="27" t="s">
        <v>2550</v>
      </c>
      <c r="R1487" s="33">
        <v>44052</v>
      </c>
      <c r="S1487" s="34">
        <v>42141</v>
      </c>
      <c r="T1487" s="34">
        <v>42150</v>
      </c>
      <c r="U1487" s="29">
        <v>0.68799999999999994</v>
      </c>
      <c r="V1487" s="26">
        <v>1</v>
      </c>
      <c r="W1487" s="29">
        <v>8.34</v>
      </c>
      <c r="X1487" s="26">
        <v>86500</v>
      </c>
      <c r="Y1487" s="35">
        <v>34.519999999999996</v>
      </c>
      <c r="Z1487" s="1" t="s">
        <v>3014</v>
      </c>
      <c r="AA1487" s="36">
        <v>0.68759999999999999</v>
      </c>
      <c r="AB1487" s="54">
        <v>5.3376000000000001</v>
      </c>
      <c r="AC1487" s="54">
        <v>3.0023999999999997</v>
      </c>
      <c r="AD1487" s="36">
        <v>5.5743999999999998</v>
      </c>
    </row>
    <row r="1488" spans="1:30" s="37" customFormat="1" ht="15.75" customHeight="1" x14ac:dyDescent="0.2">
      <c r="A1488" s="26">
        <v>266</v>
      </c>
      <c r="B1488" s="27" t="s">
        <v>2522</v>
      </c>
      <c r="C1488" s="27" t="s">
        <v>3094</v>
      </c>
      <c r="D1488" s="28">
        <v>0</v>
      </c>
      <c r="E1488" s="29">
        <v>73.98</v>
      </c>
      <c r="F1488" s="29">
        <v>12.14</v>
      </c>
      <c r="G1488" s="30" t="s">
        <v>87</v>
      </c>
      <c r="H1488" s="27" t="s">
        <v>94</v>
      </c>
      <c r="I1488" s="27" t="s">
        <v>41</v>
      </c>
      <c r="J1488" s="27" t="s">
        <v>42</v>
      </c>
      <c r="K1488" s="27" t="s">
        <v>73</v>
      </c>
      <c r="L1488" s="31" t="s">
        <v>733</v>
      </c>
      <c r="M1488" s="32">
        <v>0.67</v>
      </c>
      <c r="N1488" s="27" t="s">
        <v>33</v>
      </c>
      <c r="O1488" s="27" t="s">
        <v>53</v>
      </c>
      <c r="P1488" s="27" t="s">
        <v>187</v>
      </c>
      <c r="Q1488" s="27" t="s">
        <v>2524</v>
      </c>
      <c r="R1488" s="33">
        <v>78207</v>
      </c>
      <c r="S1488" s="34">
        <v>42142</v>
      </c>
      <c r="T1488" s="34">
        <v>42144</v>
      </c>
      <c r="U1488" s="29">
        <v>326.25</v>
      </c>
      <c r="V1488" s="26">
        <v>17</v>
      </c>
      <c r="W1488" s="29">
        <v>1300.81</v>
      </c>
      <c r="X1488" s="26">
        <v>90593</v>
      </c>
      <c r="Y1488" s="35">
        <v>1.7899999999999998</v>
      </c>
      <c r="Z1488" s="1" t="s">
        <v>3012</v>
      </c>
      <c r="AA1488" s="36">
        <v>0</v>
      </c>
      <c r="AB1488" s="54">
        <v>429.26729999999992</v>
      </c>
      <c r="AC1488" s="54">
        <v>51.267217647058828</v>
      </c>
      <c r="AD1488" s="36">
        <v>962.42</v>
      </c>
    </row>
    <row r="1489" spans="1:30" s="37" customFormat="1" ht="15.75" customHeight="1" x14ac:dyDescent="0.2">
      <c r="A1489" s="26">
        <v>489</v>
      </c>
      <c r="B1489" s="27" t="s">
        <v>2567</v>
      </c>
      <c r="C1489" s="27" t="s">
        <v>116</v>
      </c>
      <c r="D1489" s="28">
        <v>0.09</v>
      </c>
      <c r="E1489" s="29">
        <v>20.99</v>
      </c>
      <c r="F1489" s="29">
        <v>0.99</v>
      </c>
      <c r="G1489" s="30" t="s">
        <v>39</v>
      </c>
      <c r="H1489" s="27" t="s">
        <v>94</v>
      </c>
      <c r="I1489" s="27" t="s">
        <v>41</v>
      </c>
      <c r="J1489" s="27" t="s">
        <v>135</v>
      </c>
      <c r="K1489" s="27" t="s">
        <v>51</v>
      </c>
      <c r="L1489" s="31" t="s">
        <v>2331</v>
      </c>
      <c r="M1489" s="32">
        <v>0.56999999999999995</v>
      </c>
      <c r="N1489" s="27" t="s">
        <v>33</v>
      </c>
      <c r="O1489" s="27" t="s">
        <v>111</v>
      </c>
      <c r="P1489" s="27" t="s">
        <v>403</v>
      </c>
      <c r="Q1489" s="27" t="s">
        <v>2568</v>
      </c>
      <c r="R1489" s="33">
        <v>2062</v>
      </c>
      <c r="S1489" s="34">
        <v>42142</v>
      </c>
      <c r="T1489" s="34">
        <v>42142</v>
      </c>
      <c r="U1489" s="29">
        <v>122.292</v>
      </c>
      <c r="V1489" s="26">
        <v>14</v>
      </c>
      <c r="W1489" s="29">
        <v>229.57</v>
      </c>
      <c r="X1489" s="26">
        <v>91063</v>
      </c>
      <c r="Y1489" s="35">
        <v>10.940000000000001</v>
      </c>
      <c r="Z1489" s="1" t="s">
        <v>3014</v>
      </c>
      <c r="AA1489" s="36">
        <v>26.447399999999998</v>
      </c>
      <c r="AB1489" s="54">
        <v>98.715100000000007</v>
      </c>
      <c r="AC1489" s="54">
        <v>9.3467785714285689</v>
      </c>
      <c r="AD1489" s="36">
        <v>79.840599999999995</v>
      </c>
    </row>
    <row r="1490" spans="1:30" s="37" customFormat="1" ht="15.75" customHeight="1" x14ac:dyDescent="0.2">
      <c r="A1490" s="26">
        <v>1554</v>
      </c>
      <c r="B1490" s="27" t="s">
        <v>1148</v>
      </c>
      <c r="C1490" s="27" t="s">
        <v>38</v>
      </c>
      <c r="D1490" s="28">
        <v>0.04</v>
      </c>
      <c r="E1490" s="29">
        <v>10.98</v>
      </c>
      <c r="F1490" s="29">
        <v>3.99</v>
      </c>
      <c r="G1490" s="30" t="s">
        <v>39</v>
      </c>
      <c r="H1490" s="27" t="s">
        <v>3095</v>
      </c>
      <c r="I1490" s="27" t="s">
        <v>49</v>
      </c>
      <c r="J1490" s="27" t="s">
        <v>95</v>
      </c>
      <c r="K1490" s="27" t="s">
        <v>73</v>
      </c>
      <c r="L1490" s="31" t="s">
        <v>1693</v>
      </c>
      <c r="M1490" s="32">
        <v>0.57999999999999996</v>
      </c>
      <c r="N1490" s="27" t="s">
        <v>33</v>
      </c>
      <c r="O1490" s="27" t="s">
        <v>34</v>
      </c>
      <c r="P1490" s="27" t="s">
        <v>35</v>
      </c>
      <c r="Q1490" s="27" t="s">
        <v>1150</v>
      </c>
      <c r="R1490" s="33">
        <v>39503</v>
      </c>
      <c r="S1490" s="34">
        <v>42142</v>
      </c>
      <c r="T1490" s="34">
        <v>42142</v>
      </c>
      <c r="U1490" s="29">
        <v>481.03199999999998</v>
      </c>
      <c r="V1490" s="26">
        <v>15</v>
      </c>
      <c r="W1490" s="29">
        <v>172.22</v>
      </c>
      <c r="X1490" s="26">
        <v>87485</v>
      </c>
      <c r="Y1490" s="35">
        <v>39.940000000000005</v>
      </c>
      <c r="Z1490" s="1" t="s">
        <v>3011</v>
      </c>
      <c r="AA1490" s="36">
        <v>6.588000000000001</v>
      </c>
      <c r="AB1490" s="54">
        <v>72.332400000000007</v>
      </c>
      <c r="AC1490" s="54">
        <v>6.6591733333333334</v>
      </c>
      <c r="AD1490" s="36">
        <v>-319.39</v>
      </c>
    </row>
    <row r="1491" spans="1:30" s="37" customFormat="1" ht="15.75" customHeight="1" x14ac:dyDescent="0.2">
      <c r="A1491" s="26">
        <v>3086</v>
      </c>
      <c r="B1491" s="27" t="s">
        <v>2562</v>
      </c>
      <c r="C1491" s="27" t="s">
        <v>38</v>
      </c>
      <c r="D1491" s="28">
        <v>0.05</v>
      </c>
      <c r="E1491" s="29">
        <v>39.99</v>
      </c>
      <c r="F1491" s="29">
        <v>10.25</v>
      </c>
      <c r="G1491" s="30" t="s">
        <v>87</v>
      </c>
      <c r="H1491" s="27" t="s">
        <v>40</v>
      </c>
      <c r="I1491" s="27" t="s">
        <v>41</v>
      </c>
      <c r="J1491" s="27" t="s">
        <v>42</v>
      </c>
      <c r="K1491" s="27" t="s">
        <v>73</v>
      </c>
      <c r="L1491" s="31" t="s">
        <v>2563</v>
      </c>
      <c r="M1491" s="32">
        <v>0.55000000000000004</v>
      </c>
      <c r="N1491" s="27" t="s">
        <v>33</v>
      </c>
      <c r="O1491" s="27" t="s">
        <v>34</v>
      </c>
      <c r="P1491" s="27" t="s">
        <v>123</v>
      </c>
      <c r="Q1491" s="27" t="s">
        <v>2564</v>
      </c>
      <c r="R1491" s="33">
        <v>34287</v>
      </c>
      <c r="S1491" s="34">
        <v>42142</v>
      </c>
      <c r="T1491" s="34">
        <v>42143</v>
      </c>
      <c r="U1491" s="29">
        <v>4.29</v>
      </c>
      <c r="V1491" s="26">
        <v>3</v>
      </c>
      <c r="W1491" s="29">
        <v>130.91</v>
      </c>
      <c r="X1491" s="26">
        <v>88380</v>
      </c>
      <c r="Y1491" s="35">
        <v>3.26</v>
      </c>
      <c r="Z1491" s="1" t="s">
        <v>3011</v>
      </c>
      <c r="AA1491" s="36">
        <v>5.9985000000000008</v>
      </c>
      <c r="AB1491" s="54">
        <v>58.909499999999994</v>
      </c>
      <c r="AC1491" s="54">
        <v>24.000166666666665</v>
      </c>
      <c r="AD1491" s="36">
        <v>110.3715</v>
      </c>
    </row>
    <row r="1492" spans="1:30" s="37" customFormat="1" ht="15.75" customHeight="1" x14ac:dyDescent="0.2">
      <c r="A1492" s="26">
        <v>2035</v>
      </c>
      <c r="B1492" s="27" t="s">
        <v>2560</v>
      </c>
      <c r="C1492" s="27" t="s">
        <v>26</v>
      </c>
      <c r="D1492" s="28">
        <v>0.1</v>
      </c>
      <c r="E1492" s="29">
        <v>1.89</v>
      </c>
      <c r="F1492" s="29">
        <v>0.76</v>
      </c>
      <c r="G1492" s="30" t="s">
        <v>39</v>
      </c>
      <c r="H1492" s="27" t="s">
        <v>40</v>
      </c>
      <c r="I1492" s="27" t="s">
        <v>49</v>
      </c>
      <c r="J1492" s="27" t="s">
        <v>176</v>
      </c>
      <c r="K1492" s="27" t="s">
        <v>51</v>
      </c>
      <c r="L1492" s="31" t="s">
        <v>2561</v>
      </c>
      <c r="M1492" s="32">
        <v>0.83</v>
      </c>
      <c r="N1492" s="27" t="s">
        <v>33</v>
      </c>
      <c r="O1492" s="27" t="s">
        <v>34</v>
      </c>
      <c r="P1492" s="27" t="s">
        <v>123</v>
      </c>
      <c r="Q1492" s="27" t="s">
        <v>604</v>
      </c>
      <c r="R1492" s="33">
        <v>33403</v>
      </c>
      <c r="S1492" s="34">
        <v>42142</v>
      </c>
      <c r="T1492" s="34">
        <v>42144</v>
      </c>
      <c r="U1492" s="29">
        <v>-40.432000000000002</v>
      </c>
      <c r="V1492" s="26">
        <v>20</v>
      </c>
      <c r="W1492" s="29">
        <v>36.72</v>
      </c>
      <c r="X1492" s="26">
        <v>87117</v>
      </c>
      <c r="Y1492" s="35">
        <v>12.209999999999999</v>
      </c>
      <c r="Z1492" s="1" t="s">
        <v>3011</v>
      </c>
      <c r="AA1492" s="36">
        <v>3.7800000000000002</v>
      </c>
      <c r="AB1492" s="54">
        <v>6.2424000000000008</v>
      </c>
      <c r="AC1492" s="54">
        <v>1.5238799999999999</v>
      </c>
      <c r="AD1492" s="36">
        <v>72.611999999999995</v>
      </c>
    </row>
    <row r="1493" spans="1:30" s="37" customFormat="1" ht="15.75" customHeight="1" x14ac:dyDescent="0.2">
      <c r="A1493" s="26">
        <v>488</v>
      </c>
      <c r="B1493" s="27" t="s">
        <v>2566</v>
      </c>
      <c r="C1493" s="27" t="s">
        <v>116</v>
      </c>
      <c r="D1493" s="28">
        <v>7.0000000000000007E-2</v>
      </c>
      <c r="E1493" s="29">
        <v>12.28</v>
      </c>
      <c r="F1493" s="29">
        <v>4.8600000000000003</v>
      </c>
      <c r="G1493" s="30" t="s">
        <v>39</v>
      </c>
      <c r="H1493" s="27" t="s">
        <v>94</v>
      </c>
      <c r="I1493" s="27" t="s">
        <v>49</v>
      </c>
      <c r="J1493" s="27" t="s">
        <v>88</v>
      </c>
      <c r="K1493" s="27" t="s">
        <v>73</v>
      </c>
      <c r="L1493" s="31" t="s">
        <v>1860</v>
      </c>
      <c r="M1493" s="32">
        <v>0.38</v>
      </c>
      <c r="N1493" s="27" t="s">
        <v>33</v>
      </c>
      <c r="O1493" s="27" t="s">
        <v>111</v>
      </c>
      <c r="P1493" s="27" t="s">
        <v>331</v>
      </c>
      <c r="Q1493" s="27" t="s">
        <v>2427</v>
      </c>
      <c r="R1493" s="33">
        <v>4106</v>
      </c>
      <c r="S1493" s="34">
        <v>42142</v>
      </c>
      <c r="T1493" s="34">
        <v>42144</v>
      </c>
      <c r="U1493" s="29">
        <v>-7.94</v>
      </c>
      <c r="V1493" s="26">
        <v>2</v>
      </c>
      <c r="W1493" s="29">
        <v>25.7</v>
      </c>
      <c r="X1493" s="26">
        <v>91063</v>
      </c>
      <c r="Y1493" s="35">
        <v>20.9</v>
      </c>
      <c r="Z1493" s="1" t="s">
        <v>3014</v>
      </c>
      <c r="AA1493" s="36">
        <v>1.7192000000000001</v>
      </c>
      <c r="AB1493" s="54">
        <v>15.933999999999999</v>
      </c>
      <c r="AC1493" s="54">
        <v>4.883</v>
      </c>
      <c r="AD1493" s="36">
        <v>27.0608</v>
      </c>
    </row>
    <row r="1494" spans="1:30" s="37" customFormat="1" ht="15.75" customHeight="1" x14ac:dyDescent="0.2">
      <c r="A1494" s="26">
        <v>487</v>
      </c>
      <c r="B1494" s="27" t="s">
        <v>2565</v>
      </c>
      <c r="C1494" s="27" t="s">
        <v>116</v>
      </c>
      <c r="D1494" s="28">
        <v>0.1</v>
      </c>
      <c r="E1494" s="29">
        <v>3.36</v>
      </c>
      <c r="F1494" s="29">
        <v>6.27</v>
      </c>
      <c r="G1494" s="30" t="s">
        <v>87</v>
      </c>
      <c r="H1494" s="27" t="s">
        <v>94</v>
      </c>
      <c r="I1494" s="27" t="s">
        <v>49</v>
      </c>
      <c r="J1494" s="27" t="s">
        <v>72</v>
      </c>
      <c r="K1494" s="27" t="s">
        <v>73</v>
      </c>
      <c r="L1494" s="31" t="s">
        <v>186</v>
      </c>
      <c r="M1494" s="32">
        <v>0.4</v>
      </c>
      <c r="N1494" s="27" t="s">
        <v>33</v>
      </c>
      <c r="O1494" s="27" t="s">
        <v>111</v>
      </c>
      <c r="P1494" s="27" t="s">
        <v>331</v>
      </c>
      <c r="Q1494" s="27" t="s">
        <v>332</v>
      </c>
      <c r="R1494" s="33">
        <v>4073</v>
      </c>
      <c r="S1494" s="34">
        <v>42142</v>
      </c>
      <c r="T1494" s="34">
        <v>42143</v>
      </c>
      <c r="U1494" s="29">
        <v>-67.0565</v>
      </c>
      <c r="V1494" s="26">
        <v>5</v>
      </c>
      <c r="W1494" s="29">
        <v>20.87</v>
      </c>
      <c r="X1494" s="26">
        <v>91063</v>
      </c>
      <c r="Y1494" s="35">
        <v>73.98</v>
      </c>
      <c r="Z1494" s="1" t="s">
        <v>3014</v>
      </c>
      <c r="AA1494" s="36">
        <v>1.6800000000000002</v>
      </c>
      <c r="AB1494" s="54">
        <v>12.522</v>
      </c>
      <c r="AC1494" s="54">
        <v>1.6696000000000002</v>
      </c>
      <c r="AD1494" s="36">
        <v>79.976500000000001</v>
      </c>
    </row>
    <row r="1495" spans="1:30" s="37" customFormat="1" ht="15.75" customHeight="1" x14ac:dyDescent="0.2">
      <c r="A1495" s="26">
        <v>1433</v>
      </c>
      <c r="B1495" s="27" t="s">
        <v>1513</v>
      </c>
      <c r="C1495" s="27" t="s">
        <v>38</v>
      </c>
      <c r="D1495" s="28">
        <v>7.0000000000000007E-2</v>
      </c>
      <c r="E1495" s="29">
        <v>300.98</v>
      </c>
      <c r="F1495" s="29">
        <v>64.73</v>
      </c>
      <c r="G1495" s="30" t="s">
        <v>27</v>
      </c>
      <c r="H1495" s="27" t="s">
        <v>94</v>
      </c>
      <c r="I1495" s="27" t="s">
        <v>29</v>
      </c>
      <c r="J1495" s="27" t="s">
        <v>109</v>
      </c>
      <c r="K1495" s="27" t="s">
        <v>58</v>
      </c>
      <c r="L1495" s="31" t="s">
        <v>1340</v>
      </c>
      <c r="M1495" s="32">
        <v>0.56000000000000005</v>
      </c>
      <c r="N1495" s="27" t="s">
        <v>33</v>
      </c>
      <c r="O1495" s="27" t="s">
        <v>53</v>
      </c>
      <c r="P1495" s="27" t="s">
        <v>54</v>
      </c>
      <c r="Q1495" s="27" t="s">
        <v>1514</v>
      </c>
      <c r="R1495" s="33">
        <v>47130</v>
      </c>
      <c r="S1495" s="34">
        <v>42143</v>
      </c>
      <c r="T1495" s="34">
        <v>42145</v>
      </c>
      <c r="U1495" s="29">
        <v>1399.64</v>
      </c>
      <c r="V1495" s="26">
        <v>14</v>
      </c>
      <c r="W1495" s="29">
        <v>4285.5600000000004</v>
      </c>
      <c r="X1495" s="26">
        <v>86828</v>
      </c>
      <c r="Y1495" s="35">
        <v>300.91000000000003</v>
      </c>
      <c r="Z1495" s="1" t="s">
        <v>3012</v>
      </c>
      <c r="AA1495" s="36">
        <v>294.96040000000005</v>
      </c>
      <c r="AB1495" s="54">
        <v>1885.6463999999999</v>
      </c>
      <c r="AC1495" s="54">
        <v>171.42240000000001</v>
      </c>
      <c r="AD1495" s="36">
        <v>2526.2296000000001</v>
      </c>
    </row>
    <row r="1496" spans="1:30" s="37" customFormat="1" ht="15.75" customHeight="1" x14ac:dyDescent="0.2">
      <c r="A1496" s="26">
        <v>2431</v>
      </c>
      <c r="B1496" s="27" t="s">
        <v>2570</v>
      </c>
      <c r="C1496" s="27" t="s">
        <v>38</v>
      </c>
      <c r="D1496" s="28">
        <v>7.0000000000000007E-2</v>
      </c>
      <c r="E1496" s="29">
        <v>155.06</v>
      </c>
      <c r="F1496" s="29">
        <v>7.07</v>
      </c>
      <c r="G1496" s="30" t="s">
        <v>39</v>
      </c>
      <c r="H1496" s="27" t="s">
        <v>40</v>
      </c>
      <c r="I1496" s="27" t="s">
        <v>49</v>
      </c>
      <c r="J1496" s="27" t="s">
        <v>78</v>
      </c>
      <c r="K1496" s="27" t="s">
        <v>73</v>
      </c>
      <c r="L1496" s="31" t="s">
        <v>106</v>
      </c>
      <c r="M1496" s="32">
        <v>0.59</v>
      </c>
      <c r="N1496" s="27" t="s">
        <v>33</v>
      </c>
      <c r="O1496" s="27" t="s">
        <v>60</v>
      </c>
      <c r="P1496" s="27" t="s">
        <v>90</v>
      </c>
      <c r="Q1496" s="27" t="s">
        <v>100</v>
      </c>
      <c r="R1496" s="33">
        <v>90004</v>
      </c>
      <c r="S1496" s="34">
        <v>42143</v>
      </c>
      <c r="T1496" s="34">
        <v>42143</v>
      </c>
      <c r="U1496" s="29">
        <v>-121.75</v>
      </c>
      <c r="V1496" s="26">
        <v>14</v>
      </c>
      <c r="W1496" s="29">
        <v>2039.07</v>
      </c>
      <c r="X1496" s="26">
        <v>5920</v>
      </c>
      <c r="Y1496" s="35">
        <v>20.97</v>
      </c>
      <c r="Z1496" s="1" t="s">
        <v>3013</v>
      </c>
      <c r="AA1496" s="36">
        <v>151.9588</v>
      </c>
      <c r="AB1496" s="54">
        <v>836.01870000000008</v>
      </c>
      <c r="AC1496" s="54">
        <v>85.93223571428571</v>
      </c>
      <c r="AD1496" s="36">
        <v>2001.7911999999999</v>
      </c>
    </row>
    <row r="1497" spans="1:30" s="37" customFormat="1" ht="15.75" customHeight="1" x14ac:dyDescent="0.2">
      <c r="A1497" s="26">
        <v>1433</v>
      </c>
      <c r="B1497" s="27" t="s">
        <v>1513</v>
      </c>
      <c r="C1497" s="27" t="s">
        <v>38</v>
      </c>
      <c r="D1497" s="28">
        <v>0.01</v>
      </c>
      <c r="E1497" s="29">
        <v>20.98</v>
      </c>
      <c r="F1497" s="29">
        <v>45</v>
      </c>
      <c r="G1497" s="30" t="s">
        <v>27</v>
      </c>
      <c r="H1497" s="27" t="s">
        <v>94</v>
      </c>
      <c r="I1497" s="27" t="s">
        <v>49</v>
      </c>
      <c r="J1497" s="27" t="s">
        <v>78</v>
      </c>
      <c r="K1497" s="27" t="s">
        <v>58</v>
      </c>
      <c r="L1497" s="31" t="s">
        <v>2569</v>
      </c>
      <c r="M1497" s="32">
        <v>0.61</v>
      </c>
      <c r="N1497" s="27" t="s">
        <v>33</v>
      </c>
      <c r="O1497" s="27" t="s">
        <v>53</v>
      </c>
      <c r="P1497" s="27" t="s">
        <v>54</v>
      </c>
      <c r="Q1497" s="27" t="s">
        <v>1514</v>
      </c>
      <c r="R1497" s="33">
        <v>47130</v>
      </c>
      <c r="S1497" s="34">
        <v>42143</v>
      </c>
      <c r="T1497" s="34">
        <v>42143</v>
      </c>
      <c r="U1497" s="29">
        <v>232.642</v>
      </c>
      <c r="V1497" s="26">
        <v>28</v>
      </c>
      <c r="W1497" s="29">
        <v>631.37</v>
      </c>
      <c r="X1497" s="26">
        <v>86828</v>
      </c>
      <c r="Y1497" s="35">
        <v>154.99</v>
      </c>
      <c r="Z1497" s="1" t="s">
        <v>3012</v>
      </c>
      <c r="AA1497" s="36">
        <v>5.8744000000000005</v>
      </c>
      <c r="AB1497" s="54">
        <v>246.23430000000002</v>
      </c>
      <c r="AC1497" s="54">
        <v>13.754846428571428</v>
      </c>
      <c r="AD1497" s="36">
        <v>347.85360000000003</v>
      </c>
    </row>
    <row r="1498" spans="1:30" s="37" customFormat="1" ht="15.75" customHeight="1" x14ac:dyDescent="0.2">
      <c r="A1498" s="26">
        <v>2432</v>
      </c>
      <c r="B1498" s="27" t="s">
        <v>2571</v>
      </c>
      <c r="C1498" s="27" t="s">
        <v>38</v>
      </c>
      <c r="D1498" s="28">
        <v>7.0000000000000007E-2</v>
      </c>
      <c r="E1498" s="29">
        <v>155.06</v>
      </c>
      <c r="F1498" s="29">
        <v>7.07</v>
      </c>
      <c r="G1498" s="30" t="s">
        <v>39</v>
      </c>
      <c r="H1498" s="27" t="s">
        <v>40</v>
      </c>
      <c r="I1498" s="27" t="s">
        <v>49</v>
      </c>
      <c r="J1498" s="27" t="s">
        <v>78</v>
      </c>
      <c r="K1498" s="27" t="s">
        <v>73</v>
      </c>
      <c r="L1498" s="31" t="s">
        <v>106</v>
      </c>
      <c r="M1498" s="32">
        <v>0.59</v>
      </c>
      <c r="N1498" s="27" t="s">
        <v>33</v>
      </c>
      <c r="O1498" s="27" t="s">
        <v>53</v>
      </c>
      <c r="P1498" s="27" t="s">
        <v>207</v>
      </c>
      <c r="Q1498" s="27" t="s">
        <v>2572</v>
      </c>
      <c r="R1498" s="33">
        <v>73110</v>
      </c>
      <c r="S1498" s="34">
        <v>42143</v>
      </c>
      <c r="T1498" s="34">
        <v>42143</v>
      </c>
      <c r="U1498" s="29">
        <v>24.35</v>
      </c>
      <c r="V1498" s="26">
        <v>3</v>
      </c>
      <c r="W1498" s="29">
        <v>436.94</v>
      </c>
      <c r="X1498" s="26">
        <v>89096</v>
      </c>
      <c r="Y1498" s="35">
        <v>154.99</v>
      </c>
      <c r="Z1498" s="1" t="s">
        <v>3012</v>
      </c>
      <c r="AA1498" s="36">
        <v>32.562600000000003</v>
      </c>
      <c r="AB1498" s="54">
        <v>179.14540000000002</v>
      </c>
      <c r="AC1498" s="54">
        <v>85.931533333333334</v>
      </c>
      <c r="AD1498" s="36">
        <v>372.95740000000001</v>
      </c>
    </row>
    <row r="1499" spans="1:30" s="37" customFormat="1" ht="15.75" customHeight="1" x14ac:dyDescent="0.2">
      <c r="A1499" s="26">
        <v>3264</v>
      </c>
      <c r="B1499" s="27" t="s">
        <v>2573</v>
      </c>
      <c r="C1499" s="27" t="s">
        <v>116</v>
      </c>
      <c r="D1499" s="28">
        <v>0.04</v>
      </c>
      <c r="E1499" s="29">
        <v>9.99</v>
      </c>
      <c r="F1499" s="29">
        <v>11.59</v>
      </c>
      <c r="G1499" s="30" t="s">
        <v>39</v>
      </c>
      <c r="H1499" s="27" t="s">
        <v>94</v>
      </c>
      <c r="I1499" s="27" t="s">
        <v>49</v>
      </c>
      <c r="J1499" s="27" t="s">
        <v>88</v>
      </c>
      <c r="K1499" s="27" t="s">
        <v>73</v>
      </c>
      <c r="L1499" s="31" t="s">
        <v>2200</v>
      </c>
      <c r="M1499" s="32">
        <v>0.4</v>
      </c>
      <c r="N1499" s="27" t="s">
        <v>33</v>
      </c>
      <c r="O1499" s="27" t="s">
        <v>60</v>
      </c>
      <c r="P1499" s="27" t="s">
        <v>90</v>
      </c>
      <c r="Q1499" s="27" t="s">
        <v>2574</v>
      </c>
      <c r="R1499" s="33">
        <v>95501</v>
      </c>
      <c r="S1499" s="34">
        <v>42143</v>
      </c>
      <c r="T1499" s="34">
        <v>42145</v>
      </c>
      <c r="U1499" s="29">
        <v>-92.32</v>
      </c>
      <c r="V1499" s="26">
        <v>5</v>
      </c>
      <c r="W1499" s="29">
        <v>52.09</v>
      </c>
      <c r="X1499" s="26">
        <v>89835</v>
      </c>
      <c r="Y1499" s="35">
        <v>9.9500000000000011</v>
      </c>
      <c r="Z1499" s="1" t="s">
        <v>3013</v>
      </c>
      <c r="AA1499" s="36">
        <v>1.998</v>
      </c>
      <c r="AB1499" s="54">
        <v>31.254000000000001</v>
      </c>
      <c r="AC1499" s="54">
        <v>4.1672000000000002</v>
      </c>
      <c r="AD1499" s="36">
        <v>130.822</v>
      </c>
    </row>
    <row r="1500" spans="1:30" s="37" customFormat="1" ht="15.75" customHeight="1" x14ac:dyDescent="0.2">
      <c r="A1500" s="26">
        <v>2162</v>
      </c>
      <c r="B1500" s="27" t="s">
        <v>2588</v>
      </c>
      <c r="C1500" s="27" t="s">
        <v>116</v>
      </c>
      <c r="D1500" s="28">
        <v>0.09</v>
      </c>
      <c r="E1500" s="29">
        <v>159.31</v>
      </c>
      <c r="F1500" s="29">
        <v>60</v>
      </c>
      <c r="G1500" s="30" t="s">
        <v>27</v>
      </c>
      <c r="H1500" s="27" t="s">
        <v>94</v>
      </c>
      <c r="I1500" s="27" t="s">
        <v>29</v>
      </c>
      <c r="J1500" s="27" t="s">
        <v>30</v>
      </c>
      <c r="K1500" s="27" t="s">
        <v>58</v>
      </c>
      <c r="L1500" s="31" t="s">
        <v>2589</v>
      </c>
      <c r="M1500" s="32">
        <v>0.55000000000000004</v>
      </c>
      <c r="N1500" s="27" t="s">
        <v>33</v>
      </c>
      <c r="O1500" s="27" t="s">
        <v>111</v>
      </c>
      <c r="P1500" s="27" t="s">
        <v>320</v>
      </c>
      <c r="Q1500" s="27" t="s">
        <v>2590</v>
      </c>
      <c r="R1500" s="33">
        <v>16146</v>
      </c>
      <c r="S1500" s="34">
        <v>42144</v>
      </c>
      <c r="T1500" s="34">
        <v>42146</v>
      </c>
      <c r="U1500" s="29">
        <v>77.000895400000005</v>
      </c>
      <c r="V1500" s="26">
        <v>41</v>
      </c>
      <c r="W1500" s="29">
        <v>6173.42</v>
      </c>
      <c r="X1500" s="26">
        <v>90387</v>
      </c>
      <c r="Y1500" s="35">
        <v>58.05</v>
      </c>
      <c r="Z1500" s="1" t="s">
        <v>3014</v>
      </c>
      <c r="AA1500" s="36">
        <v>587.85389999999995</v>
      </c>
      <c r="AB1500" s="54">
        <v>2778.0389999999998</v>
      </c>
      <c r="AC1500" s="54">
        <v>82.814170731707321</v>
      </c>
      <c r="AD1500" s="36">
        <v>5448.5652046000005</v>
      </c>
    </row>
    <row r="1501" spans="1:30" s="37" customFormat="1" ht="15.75" customHeight="1" x14ac:dyDescent="0.2">
      <c r="A1501" s="26">
        <v>1708</v>
      </c>
      <c r="B1501" s="27" t="s">
        <v>597</v>
      </c>
      <c r="C1501" s="27" t="s">
        <v>3094</v>
      </c>
      <c r="D1501" s="28">
        <v>0.03</v>
      </c>
      <c r="E1501" s="29">
        <v>205.99</v>
      </c>
      <c r="F1501" s="29">
        <v>3</v>
      </c>
      <c r="G1501" s="30" t="s">
        <v>39</v>
      </c>
      <c r="H1501" s="27" t="s">
        <v>3095</v>
      </c>
      <c r="I1501" s="27" t="s">
        <v>41</v>
      </c>
      <c r="J1501" s="27" t="s">
        <v>135</v>
      </c>
      <c r="K1501" s="27" t="s">
        <v>73</v>
      </c>
      <c r="L1501" s="31" t="s">
        <v>423</v>
      </c>
      <c r="M1501" s="32">
        <v>0.57999999999999996</v>
      </c>
      <c r="N1501" s="27" t="s">
        <v>33</v>
      </c>
      <c r="O1501" s="27" t="s">
        <v>111</v>
      </c>
      <c r="P1501" s="27" t="s">
        <v>317</v>
      </c>
      <c r="Q1501" s="27" t="s">
        <v>599</v>
      </c>
      <c r="R1501" s="33">
        <v>44118</v>
      </c>
      <c r="S1501" s="34">
        <v>42144</v>
      </c>
      <c r="T1501" s="34">
        <v>42145</v>
      </c>
      <c r="U1501" s="29">
        <v>3670.3515000000002</v>
      </c>
      <c r="V1501" s="26">
        <v>29</v>
      </c>
      <c r="W1501" s="29">
        <v>5319.35</v>
      </c>
      <c r="X1501" s="26">
        <v>88784</v>
      </c>
      <c r="Y1501" s="35">
        <v>442.03999999999996</v>
      </c>
      <c r="Z1501" s="1" t="s">
        <v>3014</v>
      </c>
      <c r="AA1501" s="36">
        <v>179.21130000000002</v>
      </c>
      <c r="AB1501" s="54">
        <v>2234.1270000000004</v>
      </c>
      <c r="AC1501" s="54">
        <v>106.387</v>
      </c>
      <c r="AD1501" s="36">
        <v>1466.7872000000002</v>
      </c>
    </row>
    <row r="1502" spans="1:30" s="37" customFormat="1" ht="15.75" customHeight="1" x14ac:dyDescent="0.2">
      <c r="A1502" s="26">
        <v>2346</v>
      </c>
      <c r="B1502" s="27" t="s">
        <v>386</v>
      </c>
      <c r="C1502" s="27" t="s">
        <v>38</v>
      </c>
      <c r="D1502" s="28">
        <v>0.1</v>
      </c>
      <c r="E1502" s="29">
        <v>218.75</v>
      </c>
      <c r="F1502" s="29">
        <v>69.64</v>
      </c>
      <c r="G1502" s="30" t="s">
        <v>27</v>
      </c>
      <c r="H1502" s="27" t="s">
        <v>94</v>
      </c>
      <c r="I1502" s="27" t="s">
        <v>29</v>
      </c>
      <c r="J1502" s="27" t="s">
        <v>30</v>
      </c>
      <c r="K1502" s="27" t="s">
        <v>31</v>
      </c>
      <c r="L1502" s="31" t="s">
        <v>874</v>
      </c>
      <c r="M1502" s="32">
        <v>0.77</v>
      </c>
      <c r="N1502" s="27" t="s">
        <v>33</v>
      </c>
      <c r="O1502" s="27" t="s">
        <v>34</v>
      </c>
      <c r="P1502" s="27" t="s">
        <v>388</v>
      </c>
      <c r="Q1502" s="27" t="s">
        <v>389</v>
      </c>
      <c r="R1502" s="33">
        <v>40258</v>
      </c>
      <c r="S1502" s="34">
        <v>42144</v>
      </c>
      <c r="T1502" s="34">
        <v>42145</v>
      </c>
      <c r="U1502" s="29">
        <v>62.298000000000002</v>
      </c>
      <c r="V1502" s="26">
        <v>17</v>
      </c>
      <c r="W1502" s="29">
        <v>2805.18</v>
      </c>
      <c r="X1502" s="26">
        <v>89505</v>
      </c>
      <c r="Y1502" s="35">
        <v>100.94</v>
      </c>
      <c r="Z1502" s="1" t="s">
        <v>3011</v>
      </c>
      <c r="AA1502" s="36">
        <v>371.875</v>
      </c>
      <c r="AB1502" s="54">
        <v>645.19139999999993</v>
      </c>
      <c r="AC1502" s="54">
        <v>127.05815294117646</v>
      </c>
      <c r="AD1502" s="36">
        <v>2301.3669999999997</v>
      </c>
    </row>
    <row r="1503" spans="1:30" s="37" customFormat="1" ht="15.75" customHeight="1" x14ac:dyDescent="0.2">
      <c r="A1503" s="26">
        <v>2973</v>
      </c>
      <c r="B1503" s="27" t="s">
        <v>2161</v>
      </c>
      <c r="C1503" s="27" t="s">
        <v>26</v>
      </c>
      <c r="D1503" s="28">
        <v>0.1</v>
      </c>
      <c r="E1503" s="29">
        <v>442.14</v>
      </c>
      <c r="F1503" s="29">
        <v>14.7</v>
      </c>
      <c r="G1503" s="30" t="s">
        <v>27</v>
      </c>
      <c r="H1503" s="27" t="s">
        <v>71</v>
      </c>
      <c r="I1503" s="27" t="s">
        <v>41</v>
      </c>
      <c r="J1503" s="27" t="s">
        <v>57</v>
      </c>
      <c r="K1503" s="27" t="s">
        <v>58</v>
      </c>
      <c r="L1503" s="31" t="s">
        <v>1312</v>
      </c>
      <c r="M1503" s="32">
        <v>0.56000000000000005</v>
      </c>
      <c r="N1503" s="27" t="s">
        <v>33</v>
      </c>
      <c r="O1503" s="27" t="s">
        <v>53</v>
      </c>
      <c r="P1503" s="27" t="s">
        <v>357</v>
      </c>
      <c r="Q1503" s="27" t="s">
        <v>2163</v>
      </c>
      <c r="R1503" s="33">
        <v>53151</v>
      </c>
      <c r="S1503" s="34">
        <v>42144</v>
      </c>
      <c r="T1503" s="34">
        <v>42145</v>
      </c>
      <c r="U1503" s="29">
        <v>137.68794</v>
      </c>
      <c r="V1503" s="26">
        <v>6</v>
      </c>
      <c r="W1503" s="29">
        <v>2411.4299999999998</v>
      </c>
      <c r="X1503" s="26">
        <v>87187</v>
      </c>
      <c r="Y1503" s="35">
        <v>218.65</v>
      </c>
      <c r="Z1503" s="1" t="s">
        <v>3012</v>
      </c>
      <c r="AA1503" s="36">
        <v>265.28399999999999</v>
      </c>
      <c r="AB1503" s="54">
        <v>1061.0291999999997</v>
      </c>
      <c r="AC1503" s="54">
        <v>225.0668</v>
      </c>
      <c r="AD1503" s="36">
        <v>1993.7580599999999</v>
      </c>
    </row>
    <row r="1504" spans="1:30" s="37" customFormat="1" ht="15.75" customHeight="1" x14ac:dyDescent="0.2">
      <c r="A1504" s="26">
        <v>918</v>
      </c>
      <c r="B1504" s="27" t="s">
        <v>2144</v>
      </c>
      <c r="C1504" s="27" t="s">
        <v>26</v>
      </c>
      <c r="D1504" s="28">
        <v>0.09</v>
      </c>
      <c r="E1504" s="29">
        <v>58.14</v>
      </c>
      <c r="F1504" s="29">
        <v>36.61</v>
      </c>
      <c r="G1504" s="30" t="s">
        <v>27</v>
      </c>
      <c r="H1504" s="27" t="s">
        <v>94</v>
      </c>
      <c r="I1504" s="27" t="s">
        <v>29</v>
      </c>
      <c r="J1504" s="27" t="s">
        <v>117</v>
      </c>
      <c r="K1504" s="27" t="s">
        <v>31</v>
      </c>
      <c r="L1504" s="31" t="s">
        <v>2575</v>
      </c>
      <c r="M1504" s="32">
        <v>0.61</v>
      </c>
      <c r="N1504" s="27" t="s">
        <v>33</v>
      </c>
      <c r="O1504" s="27" t="s">
        <v>60</v>
      </c>
      <c r="P1504" s="27" t="s">
        <v>90</v>
      </c>
      <c r="Q1504" s="27" t="s">
        <v>2146</v>
      </c>
      <c r="R1504" s="33">
        <v>91730</v>
      </c>
      <c r="S1504" s="34">
        <v>42144</v>
      </c>
      <c r="T1504" s="34">
        <v>42145</v>
      </c>
      <c r="U1504" s="29">
        <v>187.41200000000001</v>
      </c>
      <c r="V1504" s="26">
        <v>39</v>
      </c>
      <c r="W1504" s="29">
        <v>2115.06</v>
      </c>
      <c r="X1504" s="26">
        <v>90493</v>
      </c>
      <c r="Y1504" s="35">
        <v>27.46</v>
      </c>
      <c r="Z1504" s="1" t="s">
        <v>3013</v>
      </c>
      <c r="AA1504" s="36">
        <v>204.07139999999998</v>
      </c>
      <c r="AB1504" s="54">
        <v>824.87340000000006</v>
      </c>
      <c r="AC1504" s="54">
        <v>33.081707692307688</v>
      </c>
      <c r="AD1504" s="36">
        <v>1686.9666</v>
      </c>
    </row>
    <row r="1505" spans="1:30" s="37" customFormat="1" ht="15.75" customHeight="1" x14ac:dyDescent="0.2">
      <c r="A1505" s="26">
        <v>2162</v>
      </c>
      <c r="B1505" s="27" t="s">
        <v>2588</v>
      </c>
      <c r="C1505" s="27" t="s">
        <v>116</v>
      </c>
      <c r="D1505" s="28">
        <v>0.06</v>
      </c>
      <c r="E1505" s="29">
        <v>55.99</v>
      </c>
      <c r="F1505" s="29">
        <v>5</v>
      </c>
      <c r="G1505" s="30" t="s">
        <v>39</v>
      </c>
      <c r="H1505" s="27" t="s">
        <v>94</v>
      </c>
      <c r="I1505" s="27" t="s">
        <v>41</v>
      </c>
      <c r="J1505" s="27" t="s">
        <v>135</v>
      </c>
      <c r="K1505" s="27" t="s">
        <v>43</v>
      </c>
      <c r="L1505" s="31" t="s">
        <v>1938</v>
      </c>
      <c r="M1505" s="32">
        <v>0.83</v>
      </c>
      <c r="N1505" s="27" t="s">
        <v>33</v>
      </c>
      <c r="O1505" s="27" t="s">
        <v>111</v>
      </c>
      <c r="P1505" s="27" t="s">
        <v>320</v>
      </c>
      <c r="Q1505" s="27" t="s">
        <v>2590</v>
      </c>
      <c r="R1505" s="33">
        <v>16146</v>
      </c>
      <c r="S1505" s="34">
        <v>42144</v>
      </c>
      <c r="T1505" s="34">
        <v>42146</v>
      </c>
      <c r="U1505" s="29">
        <v>27.968599999999999</v>
      </c>
      <c r="V1505" s="26">
        <v>33</v>
      </c>
      <c r="W1505" s="29">
        <v>1553.7</v>
      </c>
      <c r="X1505" s="26">
        <v>90387</v>
      </c>
      <c r="Y1505" s="35">
        <v>9.98</v>
      </c>
      <c r="Z1505" s="1" t="s">
        <v>3014</v>
      </c>
      <c r="AA1505" s="36">
        <v>110.86019999999999</v>
      </c>
      <c r="AB1505" s="54">
        <v>264.12900000000008</v>
      </c>
      <c r="AC1505" s="54">
        <v>39.077909090909095</v>
      </c>
      <c r="AD1505" s="36">
        <v>1409.8712</v>
      </c>
    </row>
    <row r="1506" spans="1:30" s="37" customFormat="1" ht="15.75" customHeight="1" x14ac:dyDescent="0.2">
      <c r="A1506" s="26">
        <v>922</v>
      </c>
      <c r="B1506" s="27" t="s">
        <v>2593</v>
      </c>
      <c r="C1506" s="27" t="s">
        <v>3094</v>
      </c>
      <c r="D1506" s="28">
        <v>0.01</v>
      </c>
      <c r="E1506" s="29">
        <v>65.989999999999995</v>
      </c>
      <c r="F1506" s="29">
        <v>8.99</v>
      </c>
      <c r="G1506" s="30" t="s">
        <v>87</v>
      </c>
      <c r="H1506" s="27" t="s">
        <v>3095</v>
      </c>
      <c r="I1506" s="27" t="s">
        <v>41</v>
      </c>
      <c r="J1506" s="27" t="s">
        <v>135</v>
      </c>
      <c r="K1506" s="27" t="s">
        <v>73</v>
      </c>
      <c r="L1506" s="31" t="s">
        <v>2594</v>
      </c>
      <c r="M1506" s="32">
        <v>0.56000000000000005</v>
      </c>
      <c r="N1506" s="27" t="s">
        <v>33</v>
      </c>
      <c r="O1506" s="27" t="s">
        <v>60</v>
      </c>
      <c r="P1506" s="27" t="s">
        <v>90</v>
      </c>
      <c r="Q1506" s="27" t="s">
        <v>2146</v>
      </c>
      <c r="R1506" s="33">
        <v>91730</v>
      </c>
      <c r="S1506" s="34">
        <v>42144</v>
      </c>
      <c r="T1506" s="34">
        <v>42145</v>
      </c>
      <c r="U1506" s="29">
        <v>396.97199999999998</v>
      </c>
      <c r="V1506" s="26">
        <v>14</v>
      </c>
      <c r="W1506" s="29">
        <v>782</v>
      </c>
      <c r="X1506" s="26">
        <v>87135</v>
      </c>
      <c r="Y1506" s="35">
        <v>4.16</v>
      </c>
      <c r="Z1506" s="1" t="s">
        <v>3013</v>
      </c>
      <c r="AA1506" s="36">
        <v>9.2385999999999981</v>
      </c>
      <c r="AB1506" s="54">
        <v>344.08</v>
      </c>
      <c r="AC1506" s="54">
        <v>31.28</v>
      </c>
      <c r="AD1506" s="36">
        <v>366.79939999999999</v>
      </c>
    </row>
    <row r="1507" spans="1:30" s="37" customFormat="1" ht="15.75" customHeight="1" x14ac:dyDescent="0.2">
      <c r="A1507" s="26">
        <v>2159</v>
      </c>
      <c r="B1507" s="27" t="s">
        <v>2585</v>
      </c>
      <c r="C1507" s="27" t="s">
        <v>116</v>
      </c>
      <c r="D1507" s="28">
        <v>0.08</v>
      </c>
      <c r="E1507" s="29">
        <v>30.98</v>
      </c>
      <c r="F1507" s="29">
        <v>8.74</v>
      </c>
      <c r="G1507" s="30" t="s">
        <v>39</v>
      </c>
      <c r="H1507" s="27" t="s">
        <v>94</v>
      </c>
      <c r="I1507" s="27" t="s">
        <v>49</v>
      </c>
      <c r="J1507" s="27" t="s">
        <v>88</v>
      </c>
      <c r="K1507" s="27" t="s">
        <v>73</v>
      </c>
      <c r="L1507" s="31" t="s">
        <v>2586</v>
      </c>
      <c r="M1507" s="32">
        <v>0.4</v>
      </c>
      <c r="N1507" s="27" t="s">
        <v>33</v>
      </c>
      <c r="O1507" s="27" t="s">
        <v>53</v>
      </c>
      <c r="P1507" s="27" t="s">
        <v>289</v>
      </c>
      <c r="Q1507" s="27" t="s">
        <v>2587</v>
      </c>
      <c r="R1507" s="33">
        <v>48185</v>
      </c>
      <c r="S1507" s="34">
        <v>42144</v>
      </c>
      <c r="T1507" s="34">
        <v>42145</v>
      </c>
      <c r="U1507" s="29">
        <v>371.27199999999999</v>
      </c>
      <c r="V1507" s="26">
        <v>25</v>
      </c>
      <c r="W1507" s="29">
        <v>727.2</v>
      </c>
      <c r="X1507" s="26">
        <v>90387</v>
      </c>
      <c r="Y1507" s="35">
        <v>4.16</v>
      </c>
      <c r="Z1507" s="1" t="s">
        <v>3012</v>
      </c>
      <c r="AA1507" s="36">
        <v>61.96</v>
      </c>
      <c r="AB1507" s="54">
        <v>436.32</v>
      </c>
      <c r="AC1507" s="54">
        <v>11.635200000000001</v>
      </c>
      <c r="AD1507" s="36">
        <v>285.22800000000007</v>
      </c>
    </row>
    <row r="1508" spans="1:30" s="37" customFormat="1" ht="15.75" customHeight="1" x14ac:dyDescent="0.2">
      <c r="A1508" s="26">
        <v>1108</v>
      </c>
      <c r="B1508" s="27" t="s">
        <v>2582</v>
      </c>
      <c r="C1508" s="27" t="s">
        <v>116</v>
      </c>
      <c r="D1508" s="28">
        <v>0.02</v>
      </c>
      <c r="E1508" s="29">
        <v>65.989999999999995</v>
      </c>
      <c r="F1508" s="29">
        <v>8.99</v>
      </c>
      <c r="G1508" s="30" t="s">
        <v>87</v>
      </c>
      <c r="H1508" s="27" t="s">
        <v>3095</v>
      </c>
      <c r="I1508" s="27" t="s">
        <v>41</v>
      </c>
      <c r="J1508" s="27" t="s">
        <v>135</v>
      </c>
      <c r="K1508" s="27" t="s">
        <v>73</v>
      </c>
      <c r="L1508" s="31" t="s">
        <v>1864</v>
      </c>
      <c r="M1508" s="32">
        <v>0.56000000000000005</v>
      </c>
      <c r="N1508" s="27" t="s">
        <v>33</v>
      </c>
      <c r="O1508" s="27" t="s">
        <v>53</v>
      </c>
      <c r="P1508" s="27" t="s">
        <v>187</v>
      </c>
      <c r="Q1508" s="27" t="s">
        <v>2034</v>
      </c>
      <c r="R1508" s="33">
        <v>75146</v>
      </c>
      <c r="S1508" s="34">
        <v>42144</v>
      </c>
      <c r="T1508" s="34">
        <v>42145</v>
      </c>
      <c r="U1508" s="29">
        <v>168.23699999999999</v>
      </c>
      <c r="V1508" s="26">
        <v>8</v>
      </c>
      <c r="W1508" s="29">
        <v>479.79</v>
      </c>
      <c r="X1508" s="26">
        <v>86409</v>
      </c>
      <c r="Y1508" s="35">
        <v>6.31</v>
      </c>
      <c r="Z1508" s="1" t="s">
        <v>3012</v>
      </c>
      <c r="AA1508" s="36">
        <v>10.558399999999999</v>
      </c>
      <c r="AB1508" s="54">
        <v>211.10759999999999</v>
      </c>
      <c r="AC1508" s="54">
        <v>33.585300000000004</v>
      </c>
      <c r="AD1508" s="36">
        <v>292.00459999999998</v>
      </c>
    </row>
    <row r="1509" spans="1:30" s="37" customFormat="1" ht="15.75" customHeight="1" x14ac:dyDescent="0.2">
      <c r="A1509" s="26">
        <v>699</v>
      </c>
      <c r="B1509" s="27" t="s">
        <v>861</v>
      </c>
      <c r="C1509" s="27" t="s">
        <v>116</v>
      </c>
      <c r="D1509" s="28">
        <v>0.1</v>
      </c>
      <c r="E1509" s="29">
        <v>4.26</v>
      </c>
      <c r="F1509" s="29">
        <v>1.2</v>
      </c>
      <c r="G1509" s="30" t="s">
        <v>39</v>
      </c>
      <c r="H1509" s="27" t="s">
        <v>40</v>
      </c>
      <c r="I1509" s="27" t="s">
        <v>49</v>
      </c>
      <c r="J1509" s="27" t="s">
        <v>50</v>
      </c>
      <c r="K1509" s="27" t="s">
        <v>51</v>
      </c>
      <c r="L1509" s="31" t="s">
        <v>138</v>
      </c>
      <c r="M1509" s="32">
        <v>0.44</v>
      </c>
      <c r="N1509" s="27" t="s">
        <v>33</v>
      </c>
      <c r="O1509" s="27" t="s">
        <v>60</v>
      </c>
      <c r="P1509" s="27" t="s">
        <v>90</v>
      </c>
      <c r="Q1509" s="27" t="s">
        <v>100</v>
      </c>
      <c r="R1509" s="33">
        <v>90041</v>
      </c>
      <c r="S1509" s="34">
        <v>42144</v>
      </c>
      <c r="T1509" s="34">
        <v>42145</v>
      </c>
      <c r="U1509" s="29">
        <v>15.42</v>
      </c>
      <c r="V1509" s="26">
        <v>88</v>
      </c>
      <c r="W1509" s="29">
        <v>351.56</v>
      </c>
      <c r="X1509" s="26">
        <v>3042</v>
      </c>
      <c r="Y1509" s="35">
        <v>31.65</v>
      </c>
      <c r="Z1509" s="1" t="s">
        <v>3013</v>
      </c>
      <c r="AA1509" s="36">
        <v>37.488</v>
      </c>
      <c r="AB1509" s="54">
        <v>196.87360000000001</v>
      </c>
      <c r="AC1509" s="54">
        <v>1.7578</v>
      </c>
      <c r="AD1509" s="36">
        <v>297.452</v>
      </c>
    </row>
    <row r="1510" spans="1:30" s="37" customFormat="1" ht="15.75" customHeight="1" x14ac:dyDescent="0.2">
      <c r="A1510" s="26">
        <v>1106</v>
      </c>
      <c r="B1510" s="27" t="s">
        <v>2581</v>
      </c>
      <c r="C1510" s="27" t="s">
        <v>116</v>
      </c>
      <c r="D1510" s="28">
        <v>0.04</v>
      </c>
      <c r="E1510" s="29">
        <v>6.35</v>
      </c>
      <c r="F1510" s="29">
        <v>1.02</v>
      </c>
      <c r="G1510" s="30" t="s">
        <v>39</v>
      </c>
      <c r="H1510" s="27" t="s">
        <v>3095</v>
      </c>
      <c r="I1510" s="27" t="s">
        <v>49</v>
      </c>
      <c r="J1510" s="27" t="s">
        <v>88</v>
      </c>
      <c r="K1510" s="27" t="s">
        <v>51</v>
      </c>
      <c r="L1510" s="31" t="s">
        <v>527</v>
      </c>
      <c r="M1510" s="32">
        <v>0.39</v>
      </c>
      <c r="N1510" s="27" t="s">
        <v>33</v>
      </c>
      <c r="O1510" s="27" t="s">
        <v>53</v>
      </c>
      <c r="P1510" s="27" t="s">
        <v>187</v>
      </c>
      <c r="Q1510" s="27" t="s">
        <v>554</v>
      </c>
      <c r="R1510" s="33">
        <v>75220</v>
      </c>
      <c r="S1510" s="34">
        <v>42144</v>
      </c>
      <c r="T1510" s="34">
        <v>42147</v>
      </c>
      <c r="U1510" s="29">
        <v>81.91</v>
      </c>
      <c r="V1510" s="26">
        <v>52</v>
      </c>
      <c r="W1510" s="29">
        <v>318.47000000000003</v>
      </c>
      <c r="X1510" s="26">
        <v>20261</v>
      </c>
      <c r="Y1510" s="35">
        <v>6.31</v>
      </c>
      <c r="Z1510" s="1" t="s">
        <v>3012</v>
      </c>
      <c r="AA1510" s="36">
        <v>13.208</v>
      </c>
      <c r="AB1510" s="54">
        <v>194.26670000000001</v>
      </c>
      <c r="AC1510" s="54">
        <v>2.3885250000000005</v>
      </c>
      <c r="AD1510" s="36">
        <v>222.33200000000005</v>
      </c>
    </row>
    <row r="1511" spans="1:30" s="37" customFormat="1" ht="15.75" customHeight="1" x14ac:dyDescent="0.2">
      <c r="A1511" s="26">
        <v>1108</v>
      </c>
      <c r="B1511" s="27" t="s">
        <v>2582</v>
      </c>
      <c r="C1511" s="27" t="s">
        <v>116</v>
      </c>
      <c r="D1511" s="28">
        <v>0.09</v>
      </c>
      <c r="E1511" s="29">
        <v>31.74</v>
      </c>
      <c r="F1511" s="29">
        <v>12.62</v>
      </c>
      <c r="G1511" s="30" t="s">
        <v>87</v>
      </c>
      <c r="H1511" s="27" t="s">
        <v>3095</v>
      </c>
      <c r="I1511" s="27" t="s">
        <v>49</v>
      </c>
      <c r="J1511" s="27" t="s">
        <v>72</v>
      </c>
      <c r="K1511" s="27" t="s">
        <v>73</v>
      </c>
      <c r="L1511" s="31" t="s">
        <v>1532</v>
      </c>
      <c r="M1511" s="32">
        <v>0.37</v>
      </c>
      <c r="N1511" s="27" t="s">
        <v>33</v>
      </c>
      <c r="O1511" s="27" t="s">
        <v>53</v>
      </c>
      <c r="P1511" s="27" t="s">
        <v>187</v>
      </c>
      <c r="Q1511" s="27" t="s">
        <v>2034</v>
      </c>
      <c r="R1511" s="33">
        <v>75146</v>
      </c>
      <c r="S1511" s="34">
        <v>42144</v>
      </c>
      <c r="T1511" s="34">
        <v>42144</v>
      </c>
      <c r="U1511" s="29">
        <v>67.107500000000002</v>
      </c>
      <c r="V1511" s="26">
        <v>9</v>
      </c>
      <c r="W1511" s="29">
        <v>270.55</v>
      </c>
      <c r="X1511" s="26">
        <v>86409</v>
      </c>
      <c r="Y1511" s="35">
        <v>65.97</v>
      </c>
      <c r="Z1511" s="1" t="s">
        <v>3012</v>
      </c>
      <c r="AA1511" s="36">
        <v>25.709399999999999</v>
      </c>
      <c r="AB1511" s="54">
        <v>170.44650000000001</v>
      </c>
      <c r="AC1511" s="54">
        <v>11.122611111111112</v>
      </c>
      <c r="AD1511" s="36">
        <v>165.1131</v>
      </c>
    </row>
    <row r="1512" spans="1:30" s="37" customFormat="1" ht="15.75" customHeight="1" x14ac:dyDescent="0.2">
      <c r="A1512" s="26">
        <v>871</v>
      </c>
      <c r="B1512" s="27" t="s">
        <v>1665</v>
      </c>
      <c r="C1512" s="27" t="s">
        <v>3094</v>
      </c>
      <c r="D1512" s="28">
        <v>0</v>
      </c>
      <c r="E1512" s="29">
        <v>6.48</v>
      </c>
      <c r="F1512" s="29">
        <v>5.1100000000000003</v>
      </c>
      <c r="G1512" s="30" t="s">
        <v>39</v>
      </c>
      <c r="H1512" s="27" t="s">
        <v>71</v>
      </c>
      <c r="I1512" s="27" t="s">
        <v>49</v>
      </c>
      <c r="J1512" s="27" t="s">
        <v>88</v>
      </c>
      <c r="K1512" s="27" t="s">
        <v>73</v>
      </c>
      <c r="L1512" s="31" t="s">
        <v>2592</v>
      </c>
      <c r="M1512" s="32">
        <v>0.37</v>
      </c>
      <c r="N1512" s="27" t="s">
        <v>33</v>
      </c>
      <c r="O1512" s="27" t="s">
        <v>60</v>
      </c>
      <c r="P1512" s="27" t="s">
        <v>296</v>
      </c>
      <c r="Q1512" s="27" t="s">
        <v>1666</v>
      </c>
      <c r="R1512" s="33">
        <v>89502</v>
      </c>
      <c r="S1512" s="34">
        <v>42144</v>
      </c>
      <c r="T1512" s="34">
        <v>42146</v>
      </c>
      <c r="U1512" s="29">
        <v>-33.31</v>
      </c>
      <c r="V1512" s="26">
        <v>18</v>
      </c>
      <c r="W1512" s="29">
        <v>127.81</v>
      </c>
      <c r="X1512" s="26">
        <v>90578</v>
      </c>
      <c r="Y1512" s="35">
        <v>20.39</v>
      </c>
      <c r="Z1512" s="1" t="s">
        <v>3013</v>
      </c>
      <c r="AA1512" s="36">
        <v>0</v>
      </c>
      <c r="AB1512" s="54">
        <v>80.520300000000006</v>
      </c>
      <c r="AC1512" s="54">
        <v>2.6272055555555553</v>
      </c>
      <c r="AD1512" s="36">
        <v>156.01</v>
      </c>
    </row>
    <row r="1513" spans="1:30" s="37" customFormat="1" ht="15.75" customHeight="1" x14ac:dyDescent="0.2">
      <c r="A1513" s="26">
        <v>1159</v>
      </c>
      <c r="B1513" s="27" t="s">
        <v>2576</v>
      </c>
      <c r="C1513" s="27" t="s">
        <v>38</v>
      </c>
      <c r="D1513" s="28">
        <v>0.04</v>
      </c>
      <c r="E1513" s="29">
        <v>100.98</v>
      </c>
      <c r="F1513" s="29">
        <v>35.840000000000003</v>
      </c>
      <c r="G1513" s="30" t="s">
        <v>27</v>
      </c>
      <c r="H1513" s="27" t="s">
        <v>40</v>
      </c>
      <c r="I1513" s="27" t="s">
        <v>29</v>
      </c>
      <c r="J1513" s="27" t="s">
        <v>117</v>
      </c>
      <c r="K1513" s="27" t="s">
        <v>31</v>
      </c>
      <c r="L1513" s="31" t="s">
        <v>118</v>
      </c>
      <c r="M1513" s="32">
        <v>0.62</v>
      </c>
      <c r="N1513" s="27" t="s">
        <v>33</v>
      </c>
      <c r="O1513" s="27" t="s">
        <v>111</v>
      </c>
      <c r="P1513" s="27" t="s">
        <v>397</v>
      </c>
      <c r="Q1513" s="27" t="s">
        <v>2577</v>
      </c>
      <c r="R1513" s="33">
        <v>7086</v>
      </c>
      <c r="S1513" s="34">
        <v>42144</v>
      </c>
      <c r="T1513" s="34">
        <v>42145</v>
      </c>
      <c r="U1513" s="29">
        <v>-152.76</v>
      </c>
      <c r="V1513" s="26">
        <v>1</v>
      </c>
      <c r="W1513" s="29">
        <v>110.75</v>
      </c>
      <c r="X1513" s="26">
        <v>90854</v>
      </c>
      <c r="Y1513" s="35">
        <v>15.61</v>
      </c>
      <c r="Z1513" s="1" t="s">
        <v>3014</v>
      </c>
      <c r="AA1513" s="36">
        <v>4.0392000000000001</v>
      </c>
      <c r="AB1513" s="54">
        <v>42.085000000000001</v>
      </c>
      <c r="AC1513" s="54">
        <v>68.665000000000006</v>
      </c>
      <c r="AD1513" s="36">
        <v>223.63079999999999</v>
      </c>
    </row>
    <row r="1514" spans="1:30" s="37" customFormat="1" ht="15.75" customHeight="1" x14ac:dyDescent="0.2">
      <c r="A1514" s="26">
        <v>1974</v>
      </c>
      <c r="B1514" s="27" t="s">
        <v>2583</v>
      </c>
      <c r="C1514" s="27" t="s">
        <v>116</v>
      </c>
      <c r="D1514" s="28">
        <v>0.09</v>
      </c>
      <c r="E1514" s="29">
        <v>20.48</v>
      </c>
      <c r="F1514" s="29">
        <v>6.32</v>
      </c>
      <c r="G1514" s="30" t="s">
        <v>39</v>
      </c>
      <c r="H1514" s="27" t="s">
        <v>40</v>
      </c>
      <c r="I1514" s="27" t="s">
        <v>49</v>
      </c>
      <c r="J1514" s="27" t="s">
        <v>95</v>
      </c>
      <c r="K1514" s="27" t="s">
        <v>73</v>
      </c>
      <c r="L1514" s="31" t="s">
        <v>1039</v>
      </c>
      <c r="M1514" s="32">
        <v>0.57999999999999996</v>
      </c>
      <c r="N1514" s="27" t="s">
        <v>33</v>
      </c>
      <c r="O1514" s="27" t="s">
        <v>53</v>
      </c>
      <c r="P1514" s="27" t="s">
        <v>289</v>
      </c>
      <c r="Q1514" s="27" t="s">
        <v>2584</v>
      </c>
      <c r="R1514" s="33">
        <v>48127</v>
      </c>
      <c r="S1514" s="34">
        <v>42144</v>
      </c>
      <c r="T1514" s="34">
        <v>42145</v>
      </c>
      <c r="U1514" s="29">
        <v>-16.89</v>
      </c>
      <c r="V1514" s="26">
        <v>5</v>
      </c>
      <c r="W1514" s="29">
        <v>99.02</v>
      </c>
      <c r="X1514" s="26">
        <v>89040</v>
      </c>
      <c r="Y1514" s="35">
        <v>30.900000000000002</v>
      </c>
      <c r="Z1514" s="1" t="s">
        <v>3012</v>
      </c>
      <c r="AA1514" s="36">
        <v>9.2159999999999993</v>
      </c>
      <c r="AB1514" s="54">
        <v>41.5884</v>
      </c>
      <c r="AC1514" s="54">
        <v>11.486319999999999</v>
      </c>
      <c r="AD1514" s="36">
        <v>100.374</v>
      </c>
    </row>
    <row r="1515" spans="1:30" s="37" customFormat="1" ht="15.75" customHeight="1" x14ac:dyDescent="0.2">
      <c r="A1515" s="26">
        <v>700</v>
      </c>
      <c r="B1515" s="27" t="s">
        <v>2580</v>
      </c>
      <c r="C1515" s="27" t="s">
        <v>116</v>
      </c>
      <c r="D1515" s="28">
        <v>0.1</v>
      </c>
      <c r="E1515" s="29">
        <v>4.26</v>
      </c>
      <c r="F1515" s="29">
        <v>1.2</v>
      </c>
      <c r="G1515" s="30" t="s">
        <v>39</v>
      </c>
      <c r="H1515" s="27" t="s">
        <v>40</v>
      </c>
      <c r="I1515" s="27" t="s">
        <v>49</v>
      </c>
      <c r="J1515" s="27" t="s">
        <v>50</v>
      </c>
      <c r="K1515" s="27" t="s">
        <v>51</v>
      </c>
      <c r="L1515" s="31" t="s">
        <v>138</v>
      </c>
      <c r="M1515" s="32">
        <v>0.44</v>
      </c>
      <c r="N1515" s="27" t="s">
        <v>33</v>
      </c>
      <c r="O1515" s="27" t="s">
        <v>60</v>
      </c>
      <c r="P1515" s="27" t="s">
        <v>90</v>
      </c>
      <c r="Q1515" s="27" t="s">
        <v>1184</v>
      </c>
      <c r="R1515" s="33">
        <v>93454</v>
      </c>
      <c r="S1515" s="34">
        <v>42144</v>
      </c>
      <c r="T1515" s="34">
        <v>42145</v>
      </c>
      <c r="U1515" s="29">
        <v>33.923999999999999</v>
      </c>
      <c r="V1515" s="26">
        <v>22</v>
      </c>
      <c r="W1515" s="29">
        <v>87.89</v>
      </c>
      <c r="X1515" s="26">
        <v>87980</v>
      </c>
      <c r="Y1515" s="35">
        <v>159.22</v>
      </c>
      <c r="Z1515" s="1" t="s">
        <v>3013</v>
      </c>
      <c r="AA1515" s="36">
        <v>9.3719999999999999</v>
      </c>
      <c r="AB1515" s="54">
        <v>49.218400000000003</v>
      </c>
      <c r="AC1515" s="54">
        <v>1.7578</v>
      </c>
      <c r="AD1515" s="36">
        <v>43.393999999999998</v>
      </c>
    </row>
    <row r="1516" spans="1:30" s="37" customFormat="1" ht="15.75" customHeight="1" x14ac:dyDescent="0.2">
      <c r="A1516" s="26">
        <v>2825</v>
      </c>
      <c r="B1516" s="27" t="s">
        <v>2578</v>
      </c>
      <c r="C1516" s="27" t="s">
        <v>48</v>
      </c>
      <c r="D1516" s="28">
        <v>0.02</v>
      </c>
      <c r="E1516" s="29">
        <v>27.48</v>
      </c>
      <c r="F1516" s="29">
        <v>4</v>
      </c>
      <c r="G1516" s="30" t="s">
        <v>39</v>
      </c>
      <c r="H1516" s="27" t="s">
        <v>40</v>
      </c>
      <c r="I1516" s="27" t="s">
        <v>41</v>
      </c>
      <c r="J1516" s="27" t="s">
        <v>42</v>
      </c>
      <c r="K1516" s="27" t="s">
        <v>73</v>
      </c>
      <c r="L1516" s="31" t="s">
        <v>2061</v>
      </c>
      <c r="M1516" s="32">
        <v>0.75</v>
      </c>
      <c r="N1516" s="27" t="s">
        <v>33</v>
      </c>
      <c r="O1516" s="27" t="s">
        <v>60</v>
      </c>
      <c r="P1516" s="27" t="s">
        <v>490</v>
      </c>
      <c r="Q1516" s="27" t="s">
        <v>2579</v>
      </c>
      <c r="R1516" s="33">
        <v>83701</v>
      </c>
      <c r="S1516" s="34">
        <v>42144</v>
      </c>
      <c r="T1516" s="34">
        <v>42151</v>
      </c>
      <c r="U1516" s="29">
        <v>19.308</v>
      </c>
      <c r="V1516" s="26">
        <v>3</v>
      </c>
      <c r="W1516" s="29">
        <v>87.21</v>
      </c>
      <c r="X1516" s="26">
        <v>89497</v>
      </c>
      <c r="Y1516" s="35">
        <v>55.93</v>
      </c>
      <c r="Z1516" s="1" t="s">
        <v>3013</v>
      </c>
      <c r="AA1516" s="36">
        <v>1.6488</v>
      </c>
      <c r="AB1516" s="54">
        <v>21.802499999999998</v>
      </c>
      <c r="AC1516" s="54">
        <v>21.802499999999998</v>
      </c>
      <c r="AD1516" s="36">
        <v>62.253199999999993</v>
      </c>
    </row>
    <row r="1517" spans="1:30" s="37" customFormat="1" ht="15.75" customHeight="1" x14ac:dyDescent="0.2">
      <c r="A1517" s="26">
        <v>1108</v>
      </c>
      <c r="B1517" s="27" t="s">
        <v>2582</v>
      </c>
      <c r="C1517" s="27" t="s">
        <v>116</v>
      </c>
      <c r="D1517" s="28">
        <v>0.04</v>
      </c>
      <c r="E1517" s="29">
        <v>6.35</v>
      </c>
      <c r="F1517" s="29">
        <v>1.02</v>
      </c>
      <c r="G1517" s="30" t="s">
        <v>39</v>
      </c>
      <c r="H1517" s="27" t="s">
        <v>3095</v>
      </c>
      <c r="I1517" s="27" t="s">
        <v>49</v>
      </c>
      <c r="J1517" s="27" t="s">
        <v>88</v>
      </c>
      <c r="K1517" s="27" t="s">
        <v>51</v>
      </c>
      <c r="L1517" s="31" t="s">
        <v>527</v>
      </c>
      <c r="M1517" s="32">
        <v>0.39</v>
      </c>
      <c r="N1517" s="27" t="s">
        <v>33</v>
      </c>
      <c r="O1517" s="27" t="s">
        <v>53</v>
      </c>
      <c r="P1517" s="27" t="s">
        <v>187</v>
      </c>
      <c r="Q1517" s="27" t="s">
        <v>2034</v>
      </c>
      <c r="R1517" s="33">
        <v>75146</v>
      </c>
      <c r="S1517" s="34">
        <v>42144</v>
      </c>
      <c r="T1517" s="34">
        <v>42147</v>
      </c>
      <c r="U1517" s="29">
        <v>54.937800000000003</v>
      </c>
      <c r="V1517" s="26">
        <v>13</v>
      </c>
      <c r="W1517" s="29">
        <v>79.62</v>
      </c>
      <c r="X1517" s="26">
        <v>86409</v>
      </c>
      <c r="Y1517" s="35">
        <v>5.9300000000000006</v>
      </c>
      <c r="Z1517" s="1" t="s">
        <v>3012</v>
      </c>
      <c r="AA1517" s="36">
        <v>3.302</v>
      </c>
      <c r="AB1517" s="54">
        <v>48.568200000000004</v>
      </c>
      <c r="AC1517" s="54">
        <v>2.3886000000000003</v>
      </c>
      <c r="AD1517" s="36">
        <v>20.360199999999999</v>
      </c>
    </row>
    <row r="1518" spans="1:30" s="37" customFormat="1" ht="15.75" customHeight="1" x14ac:dyDescent="0.2">
      <c r="A1518" s="26">
        <v>871</v>
      </c>
      <c r="B1518" s="27" t="s">
        <v>1665</v>
      </c>
      <c r="C1518" s="27" t="s">
        <v>3094</v>
      </c>
      <c r="D1518" s="28">
        <v>0.01</v>
      </c>
      <c r="E1518" s="29">
        <v>5.94</v>
      </c>
      <c r="F1518" s="29">
        <v>9.92</v>
      </c>
      <c r="G1518" s="30" t="s">
        <v>39</v>
      </c>
      <c r="H1518" s="27" t="s">
        <v>71</v>
      </c>
      <c r="I1518" s="27" t="s">
        <v>49</v>
      </c>
      <c r="J1518" s="27" t="s">
        <v>72</v>
      </c>
      <c r="K1518" s="27" t="s">
        <v>73</v>
      </c>
      <c r="L1518" s="31" t="s">
        <v>2591</v>
      </c>
      <c r="M1518" s="32">
        <v>0.38</v>
      </c>
      <c r="N1518" s="27" t="s">
        <v>33</v>
      </c>
      <c r="O1518" s="27" t="s">
        <v>60</v>
      </c>
      <c r="P1518" s="27" t="s">
        <v>296</v>
      </c>
      <c r="Q1518" s="27" t="s">
        <v>1666</v>
      </c>
      <c r="R1518" s="33">
        <v>89502</v>
      </c>
      <c r="S1518" s="34">
        <v>42144</v>
      </c>
      <c r="T1518" s="34">
        <v>42147</v>
      </c>
      <c r="U1518" s="29">
        <v>-239.315</v>
      </c>
      <c r="V1518" s="26">
        <v>12</v>
      </c>
      <c r="W1518" s="29">
        <v>74.77</v>
      </c>
      <c r="X1518" s="26">
        <v>90578</v>
      </c>
      <c r="Y1518" s="35">
        <v>6.48</v>
      </c>
      <c r="Z1518" s="1" t="s">
        <v>3013</v>
      </c>
      <c r="AA1518" s="36">
        <v>0.7128000000000001</v>
      </c>
      <c r="AB1518" s="54">
        <v>46.357399999999998</v>
      </c>
      <c r="AC1518" s="54">
        <v>2.3677166666666665</v>
      </c>
      <c r="AD1518" s="36">
        <v>303.4522</v>
      </c>
    </row>
    <row r="1519" spans="1:30" s="37" customFormat="1" ht="15.75" customHeight="1" x14ac:dyDescent="0.2">
      <c r="A1519" s="26">
        <v>1974</v>
      </c>
      <c r="B1519" s="27" t="s">
        <v>2583</v>
      </c>
      <c r="C1519" s="27" t="s">
        <v>116</v>
      </c>
      <c r="D1519" s="28">
        <v>0.06</v>
      </c>
      <c r="E1519" s="29">
        <v>15.67</v>
      </c>
      <c r="F1519" s="29">
        <v>1.39</v>
      </c>
      <c r="G1519" s="30" t="s">
        <v>39</v>
      </c>
      <c r="H1519" s="27" t="s">
        <v>40</v>
      </c>
      <c r="I1519" s="27" t="s">
        <v>49</v>
      </c>
      <c r="J1519" s="27" t="s">
        <v>345</v>
      </c>
      <c r="K1519" s="27" t="s">
        <v>73</v>
      </c>
      <c r="L1519" s="31" t="s">
        <v>2484</v>
      </c>
      <c r="M1519" s="32">
        <v>0.38</v>
      </c>
      <c r="N1519" s="27" t="s">
        <v>33</v>
      </c>
      <c r="O1519" s="27" t="s">
        <v>53</v>
      </c>
      <c r="P1519" s="27" t="s">
        <v>289</v>
      </c>
      <c r="Q1519" s="27" t="s">
        <v>2584</v>
      </c>
      <c r="R1519" s="33">
        <v>48127</v>
      </c>
      <c r="S1519" s="34">
        <v>42144</v>
      </c>
      <c r="T1519" s="34">
        <v>42145</v>
      </c>
      <c r="U1519" s="29">
        <v>25.51</v>
      </c>
      <c r="V1519" s="26">
        <v>3</v>
      </c>
      <c r="W1519" s="29">
        <v>46.4</v>
      </c>
      <c r="X1519" s="26">
        <v>89040</v>
      </c>
      <c r="Y1519" s="35">
        <v>65.97999999999999</v>
      </c>
      <c r="Z1519" s="1" t="s">
        <v>3012</v>
      </c>
      <c r="AA1519" s="36">
        <v>2.8205999999999998</v>
      </c>
      <c r="AB1519" s="54">
        <v>28.768000000000001</v>
      </c>
      <c r="AC1519" s="54">
        <v>5.8773333333333335</v>
      </c>
      <c r="AD1519" s="36">
        <v>16.679399999999998</v>
      </c>
    </row>
    <row r="1520" spans="1:30" s="37" customFormat="1" ht="15.75" customHeight="1" x14ac:dyDescent="0.2">
      <c r="A1520" s="26">
        <v>2825</v>
      </c>
      <c r="B1520" s="27" t="s">
        <v>2578</v>
      </c>
      <c r="C1520" s="27" t="s">
        <v>48</v>
      </c>
      <c r="D1520" s="28">
        <v>0.08</v>
      </c>
      <c r="E1520" s="29">
        <v>10.06</v>
      </c>
      <c r="F1520" s="29">
        <v>2.06</v>
      </c>
      <c r="G1520" s="30" t="s">
        <v>39</v>
      </c>
      <c r="H1520" s="27" t="s">
        <v>40</v>
      </c>
      <c r="I1520" s="27" t="s">
        <v>49</v>
      </c>
      <c r="J1520" s="27" t="s">
        <v>88</v>
      </c>
      <c r="K1520" s="27" t="s">
        <v>51</v>
      </c>
      <c r="L1520" s="31" t="s">
        <v>173</v>
      </c>
      <c r="M1520" s="32">
        <v>0.39</v>
      </c>
      <c r="N1520" s="27" t="s">
        <v>33</v>
      </c>
      <c r="O1520" s="27" t="s">
        <v>60</v>
      </c>
      <c r="P1520" s="27" t="s">
        <v>490</v>
      </c>
      <c r="Q1520" s="27" t="s">
        <v>2579</v>
      </c>
      <c r="R1520" s="33">
        <v>83701</v>
      </c>
      <c r="S1520" s="34">
        <v>42144</v>
      </c>
      <c r="T1520" s="34">
        <v>42148</v>
      </c>
      <c r="U1520" s="29">
        <v>0.33</v>
      </c>
      <c r="V1520" s="26">
        <v>4</v>
      </c>
      <c r="W1520" s="29">
        <v>40.15</v>
      </c>
      <c r="X1520" s="26">
        <v>89497</v>
      </c>
      <c r="Y1520" s="35">
        <v>205.96</v>
      </c>
      <c r="Z1520" s="1" t="s">
        <v>3013</v>
      </c>
      <c r="AA1520" s="36">
        <v>3.2192000000000003</v>
      </c>
      <c r="AB1520" s="54">
        <v>24.491499999999998</v>
      </c>
      <c r="AC1520" s="54">
        <v>3.914625</v>
      </c>
      <c r="AD1520" s="36">
        <v>34.540799999999997</v>
      </c>
    </row>
    <row r="1521" spans="1:30" s="37" customFormat="1" ht="15.75" customHeight="1" x14ac:dyDescent="0.2">
      <c r="A1521" s="26">
        <v>3206</v>
      </c>
      <c r="B1521" s="27" t="s">
        <v>1926</v>
      </c>
      <c r="C1521" s="27" t="s">
        <v>3094</v>
      </c>
      <c r="D1521" s="28">
        <v>0.06</v>
      </c>
      <c r="E1521" s="29">
        <v>218.08</v>
      </c>
      <c r="F1521" s="29">
        <v>18.059999999999999</v>
      </c>
      <c r="G1521" s="30" t="s">
        <v>87</v>
      </c>
      <c r="H1521" s="27" t="s">
        <v>40</v>
      </c>
      <c r="I1521" s="27" t="s">
        <v>29</v>
      </c>
      <c r="J1521" s="27" t="s">
        <v>109</v>
      </c>
      <c r="K1521" s="27" t="s">
        <v>65</v>
      </c>
      <c r="L1521" s="31" t="s">
        <v>2616</v>
      </c>
      <c r="M1521" s="32">
        <v>0.56999999999999995</v>
      </c>
      <c r="N1521" s="27" t="s">
        <v>33</v>
      </c>
      <c r="O1521" s="27" t="s">
        <v>60</v>
      </c>
      <c r="P1521" s="27" t="s">
        <v>490</v>
      </c>
      <c r="Q1521" s="27" t="s">
        <v>1928</v>
      </c>
      <c r="R1521" s="33">
        <v>83301</v>
      </c>
      <c r="S1521" s="34">
        <v>42145</v>
      </c>
      <c r="T1521" s="34">
        <v>42147</v>
      </c>
      <c r="U1521" s="29">
        <v>969.42</v>
      </c>
      <c r="V1521" s="26">
        <v>7</v>
      </c>
      <c r="W1521" s="29">
        <v>1488.51</v>
      </c>
      <c r="X1521" s="26">
        <v>87934</v>
      </c>
      <c r="Y1521" s="35">
        <v>1.94</v>
      </c>
      <c r="Z1521" s="1" t="s">
        <v>3013</v>
      </c>
      <c r="AA1521" s="36">
        <v>91.593599999999995</v>
      </c>
      <c r="AB1521" s="54">
        <v>640.05930000000012</v>
      </c>
      <c r="AC1521" s="54">
        <v>121.20724285714284</v>
      </c>
      <c r="AD1521" s="36">
        <v>409.43640000000005</v>
      </c>
    </row>
    <row r="1522" spans="1:30" s="37" customFormat="1" ht="15.75" customHeight="1" x14ac:dyDescent="0.2">
      <c r="A1522" s="26">
        <v>1527</v>
      </c>
      <c r="B1522" s="27" t="s">
        <v>338</v>
      </c>
      <c r="C1522" s="27" t="s">
        <v>48</v>
      </c>
      <c r="D1522" s="28">
        <v>0.09</v>
      </c>
      <c r="E1522" s="29">
        <v>50.98</v>
      </c>
      <c r="F1522" s="29">
        <v>6.5</v>
      </c>
      <c r="G1522" s="30" t="s">
        <v>39</v>
      </c>
      <c r="H1522" s="27" t="s">
        <v>71</v>
      </c>
      <c r="I1522" s="27" t="s">
        <v>41</v>
      </c>
      <c r="J1522" s="27" t="s">
        <v>42</v>
      </c>
      <c r="K1522" s="27" t="s">
        <v>73</v>
      </c>
      <c r="L1522" s="31" t="s">
        <v>1866</v>
      </c>
      <c r="M1522" s="32">
        <v>0.73</v>
      </c>
      <c r="N1522" s="27" t="s">
        <v>33</v>
      </c>
      <c r="O1522" s="27" t="s">
        <v>34</v>
      </c>
      <c r="P1522" s="27" t="s">
        <v>164</v>
      </c>
      <c r="Q1522" s="27" t="s">
        <v>340</v>
      </c>
      <c r="R1522" s="33">
        <v>35601</v>
      </c>
      <c r="S1522" s="34">
        <v>42145</v>
      </c>
      <c r="T1522" s="34">
        <v>42152</v>
      </c>
      <c r="U1522" s="29">
        <v>70.176000000000002</v>
      </c>
      <c r="V1522" s="26">
        <v>28</v>
      </c>
      <c r="W1522" s="29">
        <v>1395.41</v>
      </c>
      <c r="X1522" s="26">
        <v>86815</v>
      </c>
      <c r="Y1522" s="35">
        <v>55.96</v>
      </c>
      <c r="Z1522" s="1" t="s">
        <v>3011</v>
      </c>
      <c r="AA1522" s="36">
        <v>128.46959999999999</v>
      </c>
      <c r="AB1522" s="54">
        <v>376.76070000000004</v>
      </c>
      <c r="AC1522" s="54">
        <v>36.380332142857142</v>
      </c>
      <c r="AD1522" s="36">
        <v>1190.2644</v>
      </c>
    </row>
    <row r="1523" spans="1:30" s="37" customFormat="1" ht="15.75" customHeight="1" x14ac:dyDescent="0.2">
      <c r="A1523" s="26">
        <v>21</v>
      </c>
      <c r="B1523" s="27" t="s">
        <v>2520</v>
      </c>
      <c r="C1523" s="27" t="s">
        <v>3094</v>
      </c>
      <c r="D1523" s="28">
        <v>7.0000000000000007E-2</v>
      </c>
      <c r="E1523" s="29">
        <v>12.99</v>
      </c>
      <c r="F1523" s="29">
        <v>9.44</v>
      </c>
      <c r="G1523" s="30" t="s">
        <v>39</v>
      </c>
      <c r="H1523" s="27" t="s">
        <v>3095</v>
      </c>
      <c r="I1523" s="27" t="s">
        <v>41</v>
      </c>
      <c r="J1523" s="27" t="s">
        <v>57</v>
      </c>
      <c r="K1523" s="27" t="s">
        <v>144</v>
      </c>
      <c r="L1523" s="31" t="s">
        <v>2613</v>
      </c>
      <c r="M1523" s="32">
        <v>0.39</v>
      </c>
      <c r="N1523" s="27" t="s">
        <v>33</v>
      </c>
      <c r="O1523" s="27" t="s">
        <v>111</v>
      </c>
      <c r="P1523" s="27" t="s">
        <v>112</v>
      </c>
      <c r="Q1523" s="27" t="s">
        <v>113</v>
      </c>
      <c r="R1523" s="33">
        <v>10012</v>
      </c>
      <c r="S1523" s="34">
        <v>42145</v>
      </c>
      <c r="T1523" s="34">
        <v>42147</v>
      </c>
      <c r="U1523" s="29">
        <v>-114.6399</v>
      </c>
      <c r="V1523" s="26">
        <v>71</v>
      </c>
      <c r="W1523" s="29">
        <v>914.29</v>
      </c>
      <c r="X1523" s="26">
        <v>42949</v>
      </c>
      <c r="Y1523" s="35">
        <v>11.97</v>
      </c>
      <c r="Z1523" s="1" t="s">
        <v>3014</v>
      </c>
      <c r="AA1523" s="36">
        <v>64.560300000000012</v>
      </c>
      <c r="AB1523" s="54">
        <v>557.71690000000001</v>
      </c>
      <c r="AC1523" s="54">
        <v>5.0221563380281697</v>
      </c>
      <c r="AD1523" s="36">
        <v>954.92959999999994</v>
      </c>
    </row>
    <row r="1524" spans="1:30" s="37" customFormat="1" ht="15.75" customHeight="1" x14ac:dyDescent="0.2">
      <c r="A1524" s="26">
        <v>1106</v>
      </c>
      <c r="B1524" s="27" t="s">
        <v>2581</v>
      </c>
      <c r="C1524" s="27" t="s">
        <v>38</v>
      </c>
      <c r="D1524" s="28">
        <v>0.01</v>
      </c>
      <c r="E1524" s="29">
        <v>9.31</v>
      </c>
      <c r="F1524" s="29">
        <v>3.98</v>
      </c>
      <c r="G1524" s="30" t="s">
        <v>39</v>
      </c>
      <c r="H1524" s="27" t="s">
        <v>3095</v>
      </c>
      <c r="I1524" s="27" t="s">
        <v>49</v>
      </c>
      <c r="J1524" s="27" t="s">
        <v>568</v>
      </c>
      <c r="K1524" s="27" t="s">
        <v>43</v>
      </c>
      <c r="L1524" s="31" t="s">
        <v>2602</v>
      </c>
      <c r="M1524" s="32">
        <v>0.56000000000000005</v>
      </c>
      <c r="N1524" s="27" t="s">
        <v>33</v>
      </c>
      <c r="O1524" s="27" t="s">
        <v>53</v>
      </c>
      <c r="P1524" s="27" t="s">
        <v>187</v>
      </c>
      <c r="Q1524" s="27" t="s">
        <v>554</v>
      </c>
      <c r="R1524" s="33">
        <v>75220</v>
      </c>
      <c r="S1524" s="34">
        <v>42145</v>
      </c>
      <c r="T1524" s="34">
        <v>42146</v>
      </c>
      <c r="U1524" s="29">
        <v>-10.9</v>
      </c>
      <c r="V1524" s="26">
        <v>61</v>
      </c>
      <c r="W1524" s="29">
        <v>586.96</v>
      </c>
      <c r="X1524" s="26">
        <v>646</v>
      </c>
      <c r="Y1524" s="35">
        <v>4.95</v>
      </c>
      <c r="Z1524" s="1" t="s">
        <v>3012</v>
      </c>
      <c r="AA1524" s="36">
        <v>5.6791</v>
      </c>
      <c r="AB1524" s="54">
        <v>258.26239999999996</v>
      </c>
      <c r="AC1524" s="54">
        <v>5.3884852459016397</v>
      </c>
      <c r="AD1524" s="36">
        <v>588.20090000000005</v>
      </c>
    </row>
    <row r="1525" spans="1:30" s="37" customFormat="1" ht="15.75" customHeight="1" x14ac:dyDescent="0.2">
      <c r="A1525" s="26">
        <v>3319</v>
      </c>
      <c r="B1525" s="27" t="s">
        <v>2608</v>
      </c>
      <c r="C1525" s="27" t="s">
        <v>48</v>
      </c>
      <c r="D1525" s="28">
        <v>0.03</v>
      </c>
      <c r="E1525" s="29">
        <v>20.98</v>
      </c>
      <c r="F1525" s="29">
        <v>1.49</v>
      </c>
      <c r="G1525" s="30" t="s">
        <v>39</v>
      </c>
      <c r="H1525" s="27" t="s">
        <v>3095</v>
      </c>
      <c r="I1525" s="27" t="s">
        <v>49</v>
      </c>
      <c r="J1525" s="27" t="s">
        <v>72</v>
      </c>
      <c r="K1525" s="27" t="s">
        <v>73</v>
      </c>
      <c r="L1525" s="31" t="s">
        <v>2609</v>
      </c>
      <c r="M1525" s="32">
        <v>0.35</v>
      </c>
      <c r="N1525" s="27" t="s">
        <v>33</v>
      </c>
      <c r="O1525" s="27" t="s">
        <v>34</v>
      </c>
      <c r="P1525" s="27" t="s">
        <v>400</v>
      </c>
      <c r="Q1525" s="27" t="s">
        <v>503</v>
      </c>
      <c r="R1525" s="33">
        <v>37075</v>
      </c>
      <c r="S1525" s="34">
        <v>42145</v>
      </c>
      <c r="T1525" s="34">
        <v>42145</v>
      </c>
      <c r="U1525" s="29">
        <v>30.024000000000001</v>
      </c>
      <c r="V1525" s="26">
        <v>20</v>
      </c>
      <c r="W1525" s="29">
        <v>431.43</v>
      </c>
      <c r="X1525" s="26">
        <v>90104</v>
      </c>
      <c r="Y1525" s="35">
        <v>9.3000000000000007</v>
      </c>
      <c r="Z1525" s="1" t="s">
        <v>3011</v>
      </c>
      <c r="AA1525" s="36">
        <v>12.587999999999999</v>
      </c>
      <c r="AB1525" s="54">
        <v>280.42950000000002</v>
      </c>
      <c r="AC1525" s="54">
        <v>7.5500249999999998</v>
      </c>
      <c r="AD1525" s="36">
        <v>387.32800000000003</v>
      </c>
    </row>
    <row r="1526" spans="1:30" s="37" customFormat="1" ht="15.75" customHeight="1" x14ac:dyDescent="0.2">
      <c r="A1526" s="26">
        <v>282</v>
      </c>
      <c r="B1526" s="27" t="s">
        <v>2596</v>
      </c>
      <c r="C1526" s="27" t="s">
        <v>26</v>
      </c>
      <c r="D1526" s="28">
        <v>0.03</v>
      </c>
      <c r="E1526" s="29">
        <v>55.99</v>
      </c>
      <c r="F1526" s="29">
        <v>5</v>
      </c>
      <c r="G1526" s="30" t="s">
        <v>39</v>
      </c>
      <c r="H1526" s="27" t="s">
        <v>94</v>
      </c>
      <c r="I1526" s="27" t="s">
        <v>41</v>
      </c>
      <c r="J1526" s="27" t="s">
        <v>135</v>
      </c>
      <c r="K1526" s="27" t="s">
        <v>43</v>
      </c>
      <c r="L1526" s="31" t="s">
        <v>1938</v>
      </c>
      <c r="M1526" s="32">
        <v>0.83</v>
      </c>
      <c r="N1526" s="27" t="s">
        <v>33</v>
      </c>
      <c r="O1526" s="27" t="s">
        <v>111</v>
      </c>
      <c r="P1526" s="27" t="s">
        <v>397</v>
      </c>
      <c r="Q1526" s="27" t="s">
        <v>2597</v>
      </c>
      <c r="R1526" s="33">
        <v>7109</v>
      </c>
      <c r="S1526" s="34">
        <v>42145</v>
      </c>
      <c r="T1526" s="34">
        <v>42146</v>
      </c>
      <c r="U1526" s="29">
        <v>-221.25399999999999</v>
      </c>
      <c r="V1526" s="26">
        <v>9</v>
      </c>
      <c r="W1526" s="29">
        <v>416.95</v>
      </c>
      <c r="X1526" s="26">
        <v>89291</v>
      </c>
      <c r="Y1526" s="35">
        <v>9.3000000000000007</v>
      </c>
      <c r="Z1526" s="1" t="s">
        <v>3014</v>
      </c>
      <c r="AA1526" s="36">
        <v>15.1173</v>
      </c>
      <c r="AB1526" s="54">
        <v>70.881500000000017</v>
      </c>
      <c r="AC1526" s="54">
        <v>38.452055555555553</v>
      </c>
      <c r="AD1526" s="36">
        <v>618.08669999999995</v>
      </c>
    </row>
    <row r="1527" spans="1:30" s="37" customFormat="1" ht="15.75" customHeight="1" x14ac:dyDescent="0.2">
      <c r="A1527" s="26">
        <v>1129</v>
      </c>
      <c r="B1527" s="27" t="s">
        <v>786</v>
      </c>
      <c r="C1527" s="27" t="s">
        <v>116</v>
      </c>
      <c r="D1527" s="28">
        <v>0.02</v>
      </c>
      <c r="E1527" s="29">
        <v>7.64</v>
      </c>
      <c r="F1527" s="29">
        <v>1.39</v>
      </c>
      <c r="G1527" s="30" t="s">
        <v>39</v>
      </c>
      <c r="H1527" s="27" t="s">
        <v>71</v>
      </c>
      <c r="I1527" s="27" t="s">
        <v>49</v>
      </c>
      <c r="J1527" s="27" t="s">
        <v>345</v>
      </c>
      <c r="K1527" s="27" t="s">
        <v>73</v>
      </c>
      <c r="L1527" s="31" t="s">
        <v>1558</v>
      </c>
      <c r="M1527" s="32">
        <v>0.36</v>
      </c>
      <c r="N1527" s="27" t="s">
        <v>33</v>
      </c>
      <c r="O1527" s="27" t="s">
        <v>111</v>
      </c>
      <c r="P1527" s="27" t="s">
        <v>403</v>
      </c>
      <c r="Q1527" s="27" t="s">
        <v>788</v>
      </c>
      <c r="R1527" s="33">
        <v>2118</v>
      </c>
      <c r="S1527" s="34">
        <v>42145</v>
      </c>
      <c r="T1527" s="34">
        <v>42147</v>
      </c>
      <c r="U1527" s="29">
        <v>117.38</v>
      </c>
      <c r="V1527" s="26">
        <v>52</v>
      </c>
      <c r="W1527" s="29">
        <v>406.91</v>
      </c>
      <c r="X1527" s="26">
        <v>13735</v>
      </c>
      <c r="Y1527" s="35">
        <v>5.75</v>
      </c>
      <c r="Z1527" s="1" t="s">
        <v>3014</v>
      </c>
      <c r="AA1527" s="36">
        <v>7.9455999999999998</v>
      </c>
      <c r="AB1527" s="54">
        <v>260.42240000000004</v>
      </c>
      <c r="AC1527" s="54">
        <v>2.8170692307692309</v>
      </c>
      <c r="AD1527" s="36">
        <v>280.19440000000003</v>
      </c>
    </row>
    <row r="1528" spans="1:30" s="37" customFormat="1" ht="15.75" customHeight="1" x14ac:dyDescent="0.2">
      <c r="A1528" s="26">
        <v>21</v>
      </c>
      <c r="B1528" s="27" t="s">
        <v>2520</v>
      </c>
      <c r="C1528" s="27" t="s">
        <v>3094</v>
      </c>
      <c r="D1528" s="28">
        <v>0.08</v>
      </c>
      <c r="E1528" s="29">
        <v>5</v>
      </c>
      <c r="F1528" s="29">
        <v>3.39</v>
      </c>
      <c r="G1528" s="30" t="s">
        <v>39</v>
      </c>
      <c r="H1528" s="27" t="s">
        <v>3095</v>
      </c>
      <c r="I1528" s="27" t="s">
        <v>49</v>
      </c>
      <c r="J1528" s="27" t="s">
        <v>176</v>
      </c>
      <c r="K1528" s="27" t="s">
        <v>51</v>
      </c>
      <c r="L1528" s="31" t="s">
        <v>2615</v>
      </c>
      <c r="M1528" s="32">
        <v>0.37</v>
      </c>
      <c r="N1528" s="27" t="s">
        <v>33</v>
      </c>
      <c r="O1528" s="27" t="s">
        <v>111</v>
      </c>
      <c r="P1528" s="27" t="s">
        <v>112</v>
      </c>
      <c r="Q1528" s="27" t="s">
        <v>113</v>
      </c>
      <c r="R1528" s="33">
        <v>10012</v>
      </c>
      <c r="S1528" s="34">
        <v>42145</v>
      </c>
      <c r="T1528" s="34">
        <v>42146</v>
      </c>
      <c r="U1528" s="29">
        <v>-17.489999999999998</v>
      </c>
      <c r="V1528" s="26">
        <v>58</v>
      </c>
      <c r="W1528" s="29">
        <v>293.06</v>
      </c>
      <c r="X1528" s="26">
        <v>42949</v>
      </c>
      <c r="Y1528" s="35">
        <v>50.889999999999993</v>
      </c>
      <c r="Z1528" s="1" t="s">
        <v>3014</v>
      </c>
      <c r="AA1528" s="36">
        <v>23.200000000000003</v>
      </c>
      <c r="AB1528" s="54">
        <v>184.62780000000001</v>
      </c>
      <c r="AC1528" s="54">
        <v>1.8695206896551724</v>
      </c>
      <c r="AD1528" s="36">
        <v>283.95999999999998</v>
      </c>
    </row>
    <row r="1529" spans="1:30" s="37" customFormat="1" ht="15.75" customHeight="1" x14ac:dyDescent="0.2">
      <c r="A1529" s="26">
        <v>19</v>
      </c>
      <c r="B1529" s="27" t="s">
        <v>2612</v>
      </c>
      <c r="C1529" s="27" t="s">
        <v>3094</v>
      </c>
      <c r="D1529" s="28">
        <v>7.0000000000000007E-2</v>
      </c>
      <c r="E1529" s="29">
        <v>12.99</v>
      </c>
      <c r="F1529" s="29">
        <v>9.44</v>
      </c>
      <c r="G1529" s="30" t="s">
        <v>39</v>
      </c>
      <c r="H1529" s="27" t="s">
        <v>3095</v>
      </c>
      <c r="I1529" s="27" t="s">
        <v>41</v>
      </c>
      <c r="J1529" s="27" t="s">
        <v>57</v>
      </c>
      <c r="K1529" s="27" t="s">
        <v>144</v>
      </c>
      <c r="L1529" s="31" t="s">
        <v>2613</v>
      </c>
      <c r="M1529" s="32">
        <v>0.39</v>
      </c>
      <c r="N1529" s="27" t="s">
        <v>33</v>
      </c>
      <c r="O1529" s="27" t="s">
        <v>60</v>
      </c>
      <c r="P1529" s="27" t="s">
        <v>277</v>
      </c>
      <c r="Q1529" s="27" t="s">
        <v>2614</v>
      </c>
      <c r="R1529" s="33">
        <v>59801</v>
      </c>
      <c r="S1529" s="34">
        <v>42145</v>
      </c>
      <c r="T1529" s="34">
        <v>42147</v>
      </c>
      <c r="U1529" s="29">
        <v>-114.6399</v>
      </c>
      <c r="V1529" s="26">
        <v>18</v>
      </c>
      <c r="W1529" s="29">
        <v>231.79</v>
      </c>
      <c r="X1529" s="26">
        <v>90032</v>
      </c>
      <c r="Y1529" s="35">
        <v>20.95</v>
      </c>
      <c r="Z1529" s="1" t="s">
        <v>3013</v>
      </c>
      <c r="AA1529" s="36">
        <v>16.367400000000004</v>
      </c>
      <c r="AB1529" s="54">
        <v>141.39189999999999</v>
      </c>
      <c r="AC1529" s="54">
        <v>5.0221166666666672</v>
      </c>
      <c r="AD1529" s="36">
        <v>320.6225</v>
      </c>
    </row>
    <row r="1530" spans="1:30" s="37" customFormat="1" ht="15.75" customHeight="1" x14ac:dyDescent="0.2">
      <c r="A1530" s="26">
        <v>1107</v>
      </c>
      <c r="B1530" s="27" t="s">
        <v>2603</v>
      </c>
      <c r="C1530" s="27" t="s">
        <v>38</v>
      </c>
      <c r="D1530" s="28">
        <v>0.01</v>
      </c>
      <c r="E1530" s="29">
        <v>9.31</v>
      </c>
      <c r="F1530" s="29">
        <v>3.98</v>
      </c>
      <c r="G1530" s="30" t="s">
        <v>39</v>
      </c>
      <c r="H1530" s="27" t="s">
        <v>3095</v>
      </c>
      <c r="I1530" s="27" t="s">
        <v>49</v>
      </c>
      <c r="J1530" s="27" t="s">
        <v>568</v>
      </c>
      <c r="K1530" s="27" t="s">
        <v>43</v>
      </c>
      <c r="L1530" s="31" t="s">
        <v>2602</v>
      </c>
      <c r="M1530" s="32">
        <v>0.56000000000000005</v>
      </c>
      <c r="N1530" s="27" t="s">
        <v>33</v>
      </c>
      <c r="O1530" s="27" t="s">
        <v>53</v>
      </c>
      <c r="P1530" s="27" t="s">
        <v>187</v>
      </c>
      <c r="Q1530" s="27" t="s">
        <v>2604</v>
      </c>
      <c r="R1530" s="33">
        <v>77566</v>
      </c>
      <c r="S1530" s="34">
        <v>42145</v>
      </c>
      <c r="T1530" s="34">
        <v>42146</v>
      </c>
      <c r="U1530" s="29">
        <v>2.1800000000000002</v>
      </c>
      <c r="V1530" s="26">
        <v>15</v>
      </c>
      <c r="W1530" s="29">
        <v>144.33000000000001</v>
      </c>
      <c r="X1530" s="26">
        <v>86411</v>
      </c>
      <c r="Y1530" s="35">
        <v>7.62</v>
      </c>
      <c r="Z1530" s="1" t="s">
        <v>3012</v>
      </c>
      <c r="AA1530" s="36">
        <v>1.3965000000000001</v>
      </c>
      <c r="AB1530" s="54">
        <v>63.505199999999995</v>
      </c>
      <c r="AC1530" s="54">
        <v>5.3883200000000011</v>
      </c>
      <c r="AD1530" s="36">
        <v>136.77350000000001</v>
      </c>
    </row>
    <row r="1531" spans="1:30" s="37" customFormat="1" ht="15.75" customHeight="1" x14ac:dyDescent="0.2">
      <c r="A1531" s="26">
        <v>1131</v>
      </c>
      <c r="B1531" s="27" t="s">
        <v>2610</v>
      </c>
      <c r="C1531" s="27" t="s">
        <v>116</v>
      </c>
      <c r="D1531" s="28">
        <v>0.02</v>
      </c>
      <c r="E1531" s="29">
        <v>7.64</v>
      </c>
      <c r="F1531" s="29">
        <v>1.39</v>
      </c>
      <c r="G1531" s="30" t="s">
        <v>39</v>
      </c>
      <c r="H1531" s="27" t="s">
        <v>71</v>
      </c>
      <c r="I1531" s="27" t="s">
        <v>49</v>
      </c>
      <c r="J1531" s="27" t="s">
        <v>345</v>
      </c>
      <c r="K1531" s="27" t="s">
        <v>73</v>
      </c>
      <c r="L1531" s="31" t="s">
        <v>1558</v>
      </c>
      <c r="M1531" s="32">
        <v>0.36</v>
      </c>
      <c r="N1531" s="27" t="s">
        <v>33</v>
      </c>
      <c r="O1531" s="27" t="s">
        <v>53</v>
      </c>
      <c r="P1531" s="27" t="s">
        <v>187</v>
      </c>
      <c r="Q1531" s="27" t="s">
        <v>2611</v>
      </c>
      <c r="R1531" s="33">
        <v>79907</v>
      </c>
      <c r="S1531" s="34">
        <v>42145</v>
      </c>
      <c r="T1531" s="34">
        <v>42147</v>
      </c>
      <c r="U1531" s="29">
        <v>70.193700000000007</v>
      </c>
      <c r="V1531" s="26">
        <v>13</v>
      </c>
      <c r="W1531" s="29">
        <v>101.73</v>
      </c>
      <c r="X1531" s="26">
        <v>88103</v>
      </c>
      <c r="Y1531" s="35">
        <v>7.62</v>
      </c>
      <c r="Z1531" s="1" t="s">
        <v>3012</v>
      </c>
      <c r="AA1531" s="36">
        <v>1.9863999999999999</v>
      </c>
      <c r="AB1531" s="54">
        <v>65.107200000000006</v>
      </c>
      <c r="AC1531" s="54">
        <v>2.8171384615384616</v>
      </c>
      <c r="AD1531" s="36">
        <v>28.159899999999993</v>
      </c>
    </row>
    <row r="1532" spans="1:30" s="37" customFormat="1" ht="15.75" customHeight="1" x14ac:dyDescent="0.2">
      <c r="A1532" s="26">
        <v>406</v>
      </c>
      <c r="B1532" s="27" t="s">
        <v>2600</v>
      </c>
      <c r="C1532" s="27" t="s">
        <v>38</v>
      </c>
      <c r="D1532" s="28">
        <v>0.03</v>
      </c>
      <c r="E1532" s="29">
        <v>4.9800000000000004</v>
      </c>
      <c r="F1532" s="29">
        <v>0.8</v>
      </c>
      <c r="G1532" s="30" t="s">
        <v>39</v>
      </c>
      <c r="H1532" s="27" t="s">
        <v>3095</v>
      </c>
      <c r="I1532" s="27" t="s">
        <v>49</v>
      </c>
      <c r="J1532" s="27" t="s">
        <v>88</v>
      </c>
      <c r="K1532" s="27" t="s">
        <v>51</v>
      </c>
      <c r="L1532" s="31" t="s">
        <v>894</v>
      </c>
      <c r="M1532" s="32">
        <v>0.36</v>
      </c>
      <c r="N1532" s="27" t="s">
        <v>33</v>
      </c>
      <c r="O1532" s="27" t="s">
        <v>111</v>
      </c>
      <c r="P1532" s="27" t="s">
        <v>397</v>
      </c>
      <c r="Q1532" s="27" t="s">
        <v>2601</v>
      </c>
      <c r="R1532" s="33">
        <v>8360</v>
      </c>
      <c r="S1532" s="34">
        <v>42145</v>
      </c>
      <c r="T1532" s="34">
        <v>42146</v>
      </c>
      <c r="U1532" s="29">
        <v>50.2044</v>
      </c>
      <c r="V1532" s="26">
        <v>15</v>
      </c>
      <c r="W1532" s="29">
        <v>72.760000000000005</v>
      </c>
      <c r="X1532" s="26">
        <v>87804</v>
      </c>
      <c r="Y1532" s="35">
        <v>2.04</v>
      </c>
      <c r="Z1532" s="1" t="s">
        <v>3014</v>
      </c>
      <c r="AA1532" s="36">
        <v>2.2410000000000001</v>
      </c>
      <c r="AB1532" s="54">
        <v>46.566400000000002</v>
      </c>
      <c r="AC1532" s="54">
        <v>1.74624</v>
      </c>
      <c r="AD1532" s="36">
        <v>19.514600000000009</v>
      </c>
    </row>
    <row r="1533" spans="1:30" s="37" customFormat="1" ht="15.75" customHeight="1" x14ac:dyDescent="0.2">
      <c r="A1533" s="26">
        <v>825</v>
      </c>
      <c r="B1533" s="27" t="s">
        <v>2598</v>
      </c>
      <c r="C1533" s="27" t="s">
        <v>26</v>
      </c>
      <c r="D1533" s="28">
        <v>0</v>
      </c>
      <c r="E1533" s="29">
        <v>11.97</v>
      </c>
      <c r="F1533" s="29">
        <v>4.9800000000000004</v>
      </c>
      <c r="G1533" s="30" t="s">
        <v>39</v>
      </c>
      <c r="H1533" s="27" t="s">
        <v>71</v>
      </c>
      <c r="I1533" s="27" t="s">
        <v>49</v>
      </c>
      <c r="J1533" s="27" t="s">
        <v>95</v>
      </c>
      <c r="K1533" s="27" t="s">
        <v>73</v>
      </c>
      <c r="L1533" s="31" t="s">
        <v>816</v>
      </c>
      <c r="M1533" s="32">
        <v>0.57999999999999996</v>
      </c>
      <c r="N1533" s="27" t="s">
        <v>33</v>
      </c>
      <c r="O1533" s="27" t="s">
        <v>53</v>
      </c>
      <c r="P1533" s="27" t="s">
        <v>187</v>
      </c>
      <c r="Q1533" s="27" t="s">
        <v>2599</v>
      </c>
      <c r="R1533" s="33">
        <v>79605</v>
      </c>
      <c r="S1533" s="34">
        <v>42145</v>
      </c>
      <c r="T1533" s="34">
        <v>42148</v>
      </c>
      <c r="U1533" s="29">
        <v>3.3839999999999999</v>
      </c>
      <c r="V1533" s="26">
        <v>4</v>
      </c>
      <c r="W1533" s="29">
        <v>53.3</v>
      </c>
      <c r="X1533" s="26">
        <v>89258</v>
      </c>
      <c r="Y1533" s="35">
        <v>12.92</v>
      </c>
      <c r="Z1533" s="1" t="s">
        <v>3012</v>
      </c>
      <c r="AA1533" s="36">
        <v>0</v>
      </c>
      <c r="AB1533" s="54">
        <v>22.385999999999999</v>
      </c>
      <c r="AC1533" s="54">
        <v>7.7284999999999995</v>
      </c>
      <c r="AD1533" s="36">
        <v>44.935999999999993</v>
      </c>
    </row>
    <row r="1534" spans="1:30" s="37" customFormat="1" ht="15.75" customHeight="1" x14ac:dyDescent="0.2">
      <c r="A1534" s="26">
        <v>1254</v>
      </c>
      <c r="B1534" s="27" t="s">
        <v>1590</v>
      </c>
      <c r="C1534" s="27" t="s">
        <v>116</v>
      </c>
      <c r="D1534" s="28">
        <v>0.04</v>
      </c>
      <c r="E1534" s="29">
        <v>2.08</v>
      </c>
      <c r="F1534" s="29">
        <v>1.49</v>
      </c>
      <c r="G1534" s="30" t="s">
        <v>39</v>
      </c>
      <c r="H1534" s="27" t="s">
        <v>71</v>
      </c>
      <c r="I1534" s="27" t="s">
        <v>49</v>
      </c>
      <c r="J1534" s="27" t="s">
        <v>72</v>
      </c>
      <c r="K1534" s="27" t="s">
        <v>73</v>
      </c>
      <c r="L1534" s="31" t="s">
        <v>1410</v>
      </c>
      <c r="M1534" s="32">
        <v>0.36</v>
      </c>
      <c r="N1534" s="27" t="s">
        <v>33</v>
      </c>
      <c r="O1534" s="27" t="s">
        <v>53</v>
      </c>
      <c r="P1534" s="27" t="s">
        <v>187</v>
      </c>
      <c r="Q1534" s="27" t="s">
        <v>1591</v>
      </c>
      <c r="R1534" s="33">
        <v>77530</v>
      </c>
      <c r="S1534" s="34">
        <v>42145</v>
      </c>
      <c r="T1534" s="34">
        <v>42147</v>
      </c>
      <c r="U1534" s="29">
        <v>-11.281499999999999</v>
      </c>
      <c r="V1534" s="26">
        <v>16</v>
      </c>
      <c r="W1534" s="29">
        <v>33.770000000000003</v>
      </c>
      <c r="X1534" s="26">
        <v>89982</v>
      </c>
      <c r="Y1534" s="35">
        <v>4.92</v>
      </c>
      <c r="Z1534" s="1" t="s">
        <v>3012</v>
      </c>
      <c r="AA1534" s="36">
        <v>1.3312000000000002</v>
      </c>
      <c r="AB1534" s="54">
        <v>21.612800000000004</v>
      </c>
      <c r="AC1534" s="54">
        <v>0.75982500000000008</v>
      </c>
      <c r="AD1534" s="36">
        <v>42.2303</v>
      </c>
    </row>
    <row r="1535" spans="1:30" s="37" customFormat="1" ht="15.75" customHeight="1" x14ac:dyDescent="0.2">
      <c r="A1535" s="26">
        <v>276</v>
      </c>
      <c r="B1535" s="27" t="s">
        <v>2595</v>
      </c>
      <c r="C1535" s="27" t="s">
        <v>26</v>
      </c>
      <c r="D1535" s="28">
        <v>0.04</v>
      </c>
      <c r="E1535" s="29">
        <v>1.98</v>
      </c>
      <c r="F1535" s="29">
        <v>0.7</v>
      </c>
      <c r="G1535" s="30" t="s">
        <v>87</v>
      </c>
      <c r="H1535" s="27" t="s">
        <v>94</v>
      </c>
      <c r="I1535" s="27" t="s">
        <v>49</v>
      </c>
      <c r="J1535" s="27" t="s">
        <v>176</v>
      </c>
      <c r="K1535" s="27" t="s">
        <v>51</v>
      </c>
      <c r="L1535" s="31" t="s">
        <v>441</v>
      </c>
      <c r="M1535" s="32">
        <v>0.83</v>
      </c>
      <c r="N1535" s="27" t="s">
        <v>33</v>
      </c>
      <c r="O1535" s="27" t="s">
        <v>111</v>
      </c>
      <c r="P1535" s="27" t="s">
        <v>248</v>
      </c>
      <c r="Q1535" s="27" t="s">
        <v>1389</v>
      </c>
      <c r="R1535" s="33">
        <v>6111</v>
      </c>
      <c r="S1535" s="34">
        <v>42145</v>
      </c>
      <c r="T1535" s="34">
        <v>42146</v>
      </c>
      <c r="U1535" s="29">
        <v>-1</v>
      </c>
      <c r="V1535" s="26">
        <v>3</v>
      </c>
      <c r="W1535" s="29">
        <v>8.3000000000000007</v>
      </c>
      <c r="X1535" s="26">
        <v>89291</v>
      </c>
      <c r="Y1535" s="35">
        <v>12.92</v>
      </c>
      <c r="Z1535" s="1" t="s">
        <v>3014</v>
      </c>
      <c r="AA1535" s="36">
        <v>0.23760000000000003</v>
      </c>
      <c r="AB1535" s="54">
        <v>1.4110000000000005</v>
      </c>
      <c r="AC1535" s="54">
        <v>2.2963333333333336</v>
      </c>
      <c r="AD1535" s="36">
        <v>8.3624000000000009</v>
      </c>
    </row>
    <row r="1536" spans="1:30" s="37" customFormat="1" ht="15.75" customHeight="1" x14ac:dyDescent="0.2">
      <c r="A1536" s="26">
        <v>820</v>
      </c>
      <c r="B1536" s="27" t="s">
        <v>2605</v>
      </c>
      <c r="C1536" s="27" t="s">
        <v>48</v>
      </c>
      <c r="D1536" s="28">
        <v>0.09</v>
      </c>
      <c r="E1536" s="29">
        <v>5.84</v>
      </c>
      <c r="F1536" s="29">
        <v>0.83</v>
      </c>
      <c r="G1536" s="30" t="s">
        <v>39</v>
      </c>
      <c r="H1536" s="27" t="s">
        <v>3095</v>
      </c>
      <c r="I1536" s="27" t="s">
        <v>49</v>
      </c>
      <c r="J1536" s="27" t="s">
        <v>50</v>
      </c>
      <c r="K1536" s="27" t="s">
        <v>51</v>
      </c>
      <c r="L1536" s="31" t="s">
        <v>2606</v>
      </c>
      <c r="M1536" s="32">
        <v>0.49</v>
      </c>
      <c r="N1536" s="27" t="s">
        <v>33</v>
      </c>
      <c r="O1536" s="27" t="s">
        <v>60</v>
      </c>
      <c r="P1536" s="27" t="s">
        <v>67</v>
      </c>
      <c r="Q1536" s="27" t="s">
        <v>2607</v>
      </c>
      <c r="R1536" s="33">
        <v>99362</v>
      </c>
      <c r="S1536" s="34">
        <v>42145</v>
      </c>
      <c r="T1536" s="34">
        <v>42149</v>
      </c>
      <c r="U1536" s="29">
        <v>-2.87</v>
      </c>
      <c r="V1536" s="26">
        <v>1</v>
      </c>
      <c r="W1536" s="29">
        <v>5.9</v>
      </c>
      <c r="X1536" s="26">
        <v>90244</v>
      </c>
      <c r="Y1536" s="35">
        <v>218.02</v>
      </c>
      <c r="Z1536" s="1" t="s">
        <v>3013</v>
      </c>
      <c r="AA1536" s="36">
        <v>0.52559999999999996</v>
      </c>
      <c r="AB1536" s="54">
        <v>3.0090000000000003</v>
      </c>
      <c r="AC1536" s="54">
        <v>2.891</v>
      </c>
      <c r="AD1536" s="36">
        <v>7.4144000000000005</v>
      </c>
    </row>
    <row r="1537" spans="1:30" s="37" customFormat="1" ht="15.75" customHeight="1" x14ac:dyDescent="0.2">
      <c r="A1537" s="26">
        <v>1246</v>
      </c>
      <c r="B1537" s="27" t="s">
        <v>2011</v>
      </c>
      <c r="C1537" s="27" t="s">
        <v>48</v>
      </c>
      <c r="D1537" s="28">
        <v>0.03</v>
      </c>
      <c r="E1537" s="29">
        <v>256.99</v>
      </c>
      <c r="F1537" s="29">
        <v>11.25</v>
      </c>
      <c r="G1537" s="30" t="s">
        <v>39</v>
      </c>
      <c r="H1537" s="27" t="s">
        <v>71</v>
      </c>
      <c r="I1537" s="27" t="s">
        <v>41</v>
      </c>
      <c r="J1537" s="27" t="s">
        <v>42</v>
      </c>
      <c r="K1537" s="27" t="s">
        <v>73</v>
      </c>
      <c r="L1537" s="31" t="s">
        <v>2621</v>
      </c>
      <c r="M1537" s="32">
        <v>0.51</v>
      </c>
      <c r="N1537" s="27" t="s">
        <v>33</v>
      </c>
      <c r="O1537" s="27" t="s">
        <v>111</v>
      </c>
      <c r="P1537" s="27" t="s">
        <v>112</v>
      </c>
      <c r="Q1537" s="27" t="s">
        <v>113</v>
      </c>
      <c r="R1537" s="33">
        <v>10009</v>
      </c>
      <c r="S1537" s="34">
        <v>42146</v>
      </c>
      <c r="T1537" s="34">
        <v>42146</v>
      </c>
      <c r="U1537" s="29">
        <v>1489.8</v>
      </c>
      <c r="V1537" s="26">
        <v>32</v>
      </c>
      <c r="W1537" s="29">
        <v>8216.2800000000007</v>
      </c>
      <c r="X1537" s="26">
        <v>46853</v>
      </c>
      <c r="Y1537" s="35">
        <v>130.88</v>
      </c>
      <c r="Z1537" s="1" t="s">
        <v>3014</v>
      </c>
      <c r="AA1537" s="36">
        <v>246.71039999999999</v>
      </c>
      <c r="AB1537" s="54">
        <v>4025.9772000000003</v>
      </c>
      <c r="AC1537" s="54">
        <v>130.94696250000001</v>
      </c>
      <c r="AD1537" s="36">
        <v>6468.5196000000005</v>
      </c>
    </row>
    <row r="1538" spans="1:30" s="37" customFormat="1" ht="15.75" customHeight="1" x14ac:dyDescent="0.2">
      <c r="A1538" s="26">
        <v>2385</v>
      </c>
      <c r="B1538" s="27" t="s">
        <v>2617</v>
      </c>
      <c r="C1538" s="27" t="s">
        <v>26</v>
      </c>
      <c r="D1538" s="28">
        <v>0.1</v>
      </c>
      <c r="E1538" s="29">
        <v>130.97999999999999</v>
      </c>
      <c r="F1538" s="29">
        <v>30</v>
      </c>
      <c r="G1538" s="30" t="s">
        <v>27</v>
      </c>
      <c r="H1538" s="27" t="s">
        <v>3095</v>
      </c>
      <c r="I1538" s="27" t="s">
        <v>29</v>
      </c>
      <c r="J1538" s="27" t="s">
        <v>109</v>
      </c>
      <c r="K1538" s="27" t="s">
        <v>58</v>
      </c>
      <c r="L1538" s="31" t="s">
        <v>2199</v>
      </c>
      <c r="M1538" s="32">
        <v>0.78</v>
      </c>
      <c r="N1538" s="27" t="s">
        <v>33</v>
      </c>
      <c r="O1538" s="27" t="s">
        <v>60</v>
      </c>
      <c r="P1538" s="27" t="s">
        <v>640</v>
      </c>
      <c r="Q1538" s="27" t="s">
        <v>2618</v>
      </c>
      <c r="R1538" s="33">
        <v>88001</v>
      </c>
      <c r="S1538" s="34">
        <v>42146</v>
      </c>
      <c r="T1538" s="34">
        <v>42148</v>
      </c>
      <c r="U1538" s="29">
        <v>2000.11</v>
      </c>
      <c r="V1538" s="26">
        <v>18</v>
      </c>
      <c r="W1538" s="29">
        <v>2259.9899999999998</v>
      </c>
      <c r="X1538" s="26">
        <v>89184</v>
      </c>
      <c r="Y1538" s="35">
        <v>4.9200000000000008</v>
      </c>
      <c r="Z1538" s="1" t="s">
        <v>3013</v>
      </c>
      <c r="AA1538" s="36">
        <v>235.76399999999998</v>
      </c>
      <c r="AB1538" s="54">
        <v>497.19779999999992</v>
      </c>
      <c r="AC1538" s="54">
        <v>97.932900000000004</v>
      </c>
      <c r="AD1538" s="36">
        <v>-5.8840000000000146</v>
      </c>
    </row>
    <row r="1539" spans="1:30" s="37" customFormat="1" ht="15.75" customHeight="1" x14ac:dyDescent="0.2">
      <c r="A1539" s="26">
        <v>2976</v>
      </c>
      <c r="B1539" s="27" t="s">
        <v>2622</v>
      </c>
      <c r="C1539" s="27" t="s">
        <v>116</v>
      </c>
      <c r="D1539" s="28">
        <v>0.01</v>
      </c>
      <c r="E1539" s="29">
        <v>35.99</v>
      </c>
      <c r="F1539" s="29">
        <v>0.99</v>
      </c>
      <c r="G1539" s="30" t="s">
        <v>39</v>
      </c>
      <c r="H1539" s="27" t="s">
        <v>3095</v>
      </c>
      <c r="I1539" s="27" t="s">
        <v>41</v>
      </c>
      <c r="J1539" s="27" t="s">
        <v>135</v>
      </c>
      <c r="K1539" s="27" t="s">
        <v>43</v>
      </c>
      <c r="L1539" s="31" t="s">
        <v>1985</v>
      </c>
      <c r="M1539" s="32">
        <v>0.35</v>
      </c>
      <c r="N1539" s="27" t="s">
        <v>33</v>
      </c>
      <c r="O1539" s="27" t="s">
        <v>53</v>
      </c>
      <c r="P1539" s="27" t="s">
        <v>357</v>
      </c>
      <c r="Q1539" s="27" t="s">
        <v>2623</v>
      </c>
      <c r="R1539" s="33">
        <v>53154</v>
      </c>
      <c r="S1539" s="34">
        <v>42146</v>
      </c>
      <c r="T1539" s="34">
        <v>42147</v>
      </c>
      <c r="U1539" s="29">
        <v>882.48239999999998</v>
      </c>
      <c r="V1539" s="26">
        <v>41</v>
      </c>
      <c r="W1539" s="29">
        <v>1278.96</v>
      </c>
      <c r="X1539" s="26">
        <v>89047</v>
      </c>
      <c r="Y1539" s="35">
        <v>1.6099999999999999</v>
      </c>
      <c r="Z1539" s="1" t="s">
        <v>3012</v>
      </c>
      <c r="AA1539" s="36">
        <v>14.755900000000002</v>
      </c>
      <c r="AB1539" s="54">
        <v>831.32400000000007</v>
      </c>
      <c r="AC1539" s="54">
        <v>10.917951219512195</v>
      </c>
      <c r="AD1539" s="36">
        <v>380.73170000000005</v>
      </c>
    </row>
    <row r="1540" spans="1:30" s="37" customFormat="1" ht="15.75" customHeight="1" x14ac:dyDescent="0.2">
      <c r="A1540" s="26">
        <v>1257</v>
      </c>
      <c r="B1540" s="27" t="s">
        <v>2281</v>
      </c>
      <c r="C1540" s="27" t="s">
        <v>116</v>
      </c>
      <c r="D1540" s="28">
        <v>0.01</v>
      </c>
      <c r="E1540" s="29">
        <v>115.99</v>
      </c>
      <c r="F1540" s="29">
        <v>56.14</v>
      </c>
      <c r="G1540" s="30" t="s">
        <v>27</v>
      </c>
      <c r="H1540" s="27" t="s">
        <v>71</v>
      </c>
      <c r="I1540" s="27" t="s">
        <v>41</v>
      </c>
      <c r="J1540" s="27" t="s">
        <v>57</v>
      </c>
      <c r="K1540" s="27" t="s">
        <v>58</v>
      </c>
      <c r="L1540" s="31" t="s">
        <v>480</v>
      </c>
      <c r="M1540" s="32">
        <v>0.4</v>
      </c>
      <c r="N1540" s="27" t="s">
        <v>33</v>
      </c>
      <c r="O1540" s="27" t="s">
        <v>60</v>
      </c>
      <c r="P1540" s="27" t="s">
        <v>61</v>
      </c>
      <c r="Q1540" s="27" t="s">
        <v>1123</v>
      </c>
      <c r="R1540" s="33">
        <v>80013</v>
      </c>
      <c r="S1540" s="34">
        <v>42146</v>
      </c>
      <c r="T1540" s="34">
        <v>42147</v>
      </c>
      <c r="U1540" s="29">
        <v>-164.39519999999999</v>
      </c>
      <c r="V1540" s="26">
        <v>5</v>
      </c>
      <c r="W1540" s="29">
        <v>604.35</v>
      </c>
      <c r="X1540" s="26">
        <v>86535</v>
      </c>
      <c r="Y1540" s="35">
        <v>9.99</v>
      </c>
      <c r="Z1540" s="1" t="s">
        <v>3013</v>
      </c>
      <c r="AA1540" s="36">
        <v>5.7995000000000001</v>
      </c>
      <c r="AB1540" s="54">
        <v>362.61</v>
      </c>
      <c r="AC1540" s="54">
        <v>48.348000000000006</v>
      </c>
      <c r="AD1540" s="36">
        <v>706.8057</v>
      </c>
    </row>
    <row r="1541" spans="1:30" s="37" customFormat="1" ht="15.75" customHeight="1" x14ac:dyDescent="0.2">
      <c r="A1541" s="26">
        <v>2198</v>
      </c>
      <c r="B1541" s="27" t="s">
        <v>2624</v>
      </c>
      <c r="C1541" s="27" t="s">
        <v>3094</v>
      </c>
      <c r="D1541" s="28">
        <v>0.03</v>
      </c>
      <c r="E1541" s="29">
        <v>25.98</v>
      </c>
      <c r="F1541" s="29">
        <v>4.08</v>
      </c>
      <c r="G1541" s="30" t="s">
        <v>39</v>
      </c>
      <c r="H1541" s="27" t="s">
        <v>3095</v>
      </c>
      <c r="I1541" s="27" t="s">
        <v>49</v>
      </c>
      <c r="J1541" s="27" t="s">
        <v>50</v>
      </c>
      <c r="K1541" s="27" t="s">
        <v>43</v>
      </c>
      <c r="L1541" s="31" t="s">
        <v>2625</v>
      </c>
      <c r="M1541" s="32">
        <v>0.56999999999999995</v>
      </c>
      <c r="N1541" s="27" t="s">
        <v>33</v>
      </c>
      <c r="O1541" s="27" t="s">
        <v>111</v>
      </c>
      <c r="P1541" s="27" t="s">
        <v>112</v>
      </c>
      <c r="Q1541" s="27" t="s">
        <v>2626</v>
      </c>
      <c r="R1541" s="33">
        <v>11757</v>
      </c>
      <c r="S1541" s="34">
        <v>42146</v>
      </c>
      <c r="T1541" s="34">
        <v>42149</v>
      </c>
      <c r="U1541" s="29">
        <v>295.90649999999999</v>
      </c>
      <c r="V1541" s="26">
        <v>16</v>
      </c>
      <c r="W1541" s="29">
        <v>428.85</v>
      </c>
      <c r="X1541" s="26">
        <v>89174</v>
      </c>
      <c r="Y1541" s="35">
        <v>1.6099999999999999</v>
      </c>
      <c r="Z1541" s="1" t="s">
        <v>3014</v>
      </c>
      <c r="AA1541" s="36">
        <v>12.4704</v>
      </c>
      <c r="AB1541" s="54">
        <v>184.40550000000002</v>
      </c>
      <c r="AC1541" s="54">
        <v>15.27778125</v>
      </c>
      <c r="AD1541" s="36">
        <v>116.39310000000006</v>
      </c>
    </row>
    <row r="1542" spans="1:30" s="37" customFormat="1" ht="15.75" customHeight="1" x14ac:dyDescent="0.2">
      <c r="A1542" s="26">
        <v>2198</v>
      </c>
      <c r="B1542" s="27" t="s">
        <v>2624</v>
      </c>
      <c r="C1542" s="27" t="s">
        <v>3094</v>
      </c>
      <c r="D1542" s="28">
        <v>0.1</v>
      </c>
      <c r="E1542" s="29">
        <v>20.98</v>
      </c>
      <c r="F1542" s="29">
        <v>53.03</v>
      </c>
      <c r="G1542" s="30" t="s">
        <v>27</v>
      </c>
      <c r="H1542" s="27" t="s">
        <v>3095</v>
      </c>
      <c r="I1542" s="27" t="s">
        <v>49</v>
      </c>
      <c r="J1542" s="27" t="s">
        <v>78</v>
      </c>
      <c r="K1542" s="27" t="s">
        <v>58</v>
      </c>
      <c r="L1542" s="31" t="s">
        <v>1090</v>
      </c>
      <c r="M1542" s="32">
        <v>0.78</v>
      </c>
      <c r="N1542" s="27" t="s">
        <v>33</v>
      </c>
      <c r="O1542" s="27" t="s">
        <v>111</v>
      </c>
      <c r="P1542" s="27" t="s">
        <v>112</v>
      </c>
      <c r="Q1542" s="27" t="s">
        <v>2626</v>
      </c>
      <c r="R1542" s="33">
        <v>11757</v>
      </c>
      <c r="S1542" s="34">
        <v>42146</v>
      </c>
      <c r="T1542" s="34">
        <v>42146</v>
      </c>
      <c r="U1542" s="29">
        <v>-2111.36</v>
      </c>
      <c r="V1542" s="26">
        <v>16</v>
      </c>
      <c r="W1542" s="29">
        <v>342.54</v>
      </c>
      <c r="X1542" s="26">
        <v>89174</v>
      </c>
      <c r="Y1542" s="35">
        <v>256.96000000000004</v>
      </c>
      <c r="Z1542" s="1" t="s">
        <v>3014</v>
      </c>
      <c r="AA1542" s="36">
        <v>33.568000000000005</v>
      </c>
      <c r="AB1542" s="54">
        <v>75.358800000000002</v>
      </c>
      <c r="AC1542" s="54">
        <v>16.698825000000003</v>
      </c>
      <c r="AD1542" s="36">
        <v>2367.3020000000001</v>
      </c>
    </row>
    <row r="1543" spans="1:30" s="37" customFormat="1" ht="15.75" customHeight="1" x14ac:dyDescent="0.2">
      <c r="A1543" s="26">
        <v>188</v>
      </c>
      <c r="B1543" s="27" t="s">
        <v>2620</v>
      </c>
      <c r="C1543" s="27" t="s">
        <v>38</v>
      </c>
      <c r="D1543" s="28">
        <v>7.0000000000000007E-2</v>
      </c>
      <c r="E1543" s="29">
        <v>10.06</v>
      </c>
      <c r="F1543" s="29">
        <v>2.06</v>
      </c>
      <c r="G1543" s="30" t="s">
        <v>39</v>
      </c>
      <c r="H1543" s="27" t="s">
        <v>94</v>
      </c>
      <c r="I1543" s="27" t="s">
        <v>49</v>
      </c>
      <c r="J1543" s="27" t="s">
        <v>88</v>
      </c>
      <c r="K1543" s="27" t="s">
        <v>51</v>
      </c>
      <c r="L1543" s="31" t="s">
        <v>173</v>
      </c>
      <c r="M1543" s="32">
        <v>0.39</v>
      </c>
      <c r="N1543" s="27" t="s">
        <v>33</v>
      </c>
      <c r="O1543" s="27" t="s">
        <v>53</v>
      </c>
      <c r="P1543" s="27" t="s">
        <v>187</v>
      </c>
      <c r="Q1543" s="27" t="s">
        <v>1957</v>
      </c>
      <c r="R1543" s="33">
        <v>76240</v>
      </c>
      <c r="S1543" s="34">
        <v>42146</v>
      </c>
      <c r="T1543" s="34">
        <v>42146</v>
      </c>
      <c r="U1543" s="29">
        <v>152.65559999999999</v>
      </c>
      <c r="V1543" s="26">
        <v>23</v>
      </c>
      <c r="W1543" s="29">
        <v>221.24</v>
      </c>
      <c r="X1543" s="26">
        <v>88361</v>
      </c>
      <c r="Y1543" s="35">
        <v>115.97999999999999</v>
      </c>
      <c r="Z1543" s="1" t="s">
        <v>3012</v>
      </c>
      <c r="AA1543" s="36">
        <v>16.1966</v>
      </c>
      <c r="AB1543" s="54">
        <v>134.9564</v>
      </c>
      <c r="AC1543" s="54">
        <v>3.7514608695652174</v>
      </c>
      <c r="AD1543" s="36">
        <v>50.327800000000025</v>
      </c>
    </row>
    <row r="1544" spans="1:30" s="37" customFormat="1" ht="15.75" customHeight="1" x14ac:dyDescent="0.2">
      <c r="A1544" s="26">
        <v>181</v>
      </c>
      <c r="B1544" s="27" t="s">
        <v>1287</v>
      </c>
      <c r="C1544" s="27" t="s">
        <v>38</v>
      </c>
      <c r="D1544" s="28">
        <v>7.0000000000000007E-2</v>
      </c>
      <c r="E1544" s="29">
        <v>1.68</v>
      </c>
      <c r="F1544" s="29">
        <v>1.57</v>
      </c>
      <c r="G1544" s="30" t="s">
        <v>39</v>
      </c>
      <c r="H1544" s="27" t="s">
        <v>94</v>
      </c>
      <c r="I1544" s="27" t="s">
        <v>49</v>
      </c>
      <c r="J1544" s="27" t="s">
        <v>50</v>
      </c>
      <c r="K1544" s="27" t="s">
        <v>51</v>
      </c>
      <c r="L1544" s="31" t="s">
        <v>574</v>
      </c>
      <c r="M1544" s="32">
        <v>0.59</v>
      </c>
      <c r="N1544" s="27" t="s">
        <v>33</v>
      </c>
      <c r="O1544" s="27" t="s">
        <v>60</v>
      </c>
      <c r="P1544" s="27" t="s">
        <v>90</v>
      </c>
      <c r="Q1544" s="27" t="s">
        <v>941</v>
      </c>
      <c r="R1544" s="33">
        <v>94122</v>
      </c>
      <c r="S1544" s="34">
        <v>42146</v>
      </c>
      <c r="T1544" s="34">
        <v>42147</v>
      </c>
      <c r="U1544" s="29">
        <v>-35.75</v>
      </c>
      <c r="V1544" s="26">
        <v>116</v>
      </c>
      <c r="W1544" s="29">
        <v>186.59</v>
      </c>
      <c r="X1544" s="26">
        <v>3585</v>
      </c>
      <c r="Y1544" s="35">
        <v>35.980000000000004</v>
      </c>
      <c r="Z1544" s="1" t="s">
        <v>3013</v>
      </c>
      <c r="AA1544" s="36">
        <v>13.6416</v>
      </c>
      <c r="AB1544" s="54">
        <v>76.501900000000006</v>
      </c>
      <c r="AC1544" s="54">
        <v>0.94903534482758622</v>
      </c>
      <c r="AD1544" s="36">
        <v>207.1284</v>
      </c>
    </row>
    <row r="1545" spans="1:30" s="37" customFormat="1" ht="15.75" customHeight="1" x14ac:dyDescent="0.2">
      <c r="A1545" s="26">
        <v>2699</v>
      </c>
      <c r="B1545" s="27" t="s">
        <v>2089</v>
      </c>
      <c r="C1545" s="27" t="s">
        <v>26</v>
      </c>
      <c r="D1545" s="28">
        <v>0.06</v>
      </c>
      <c r="E1545" s="29">
        <v>4.9800000000000004</v>
      </c>
      <c r="F1545" s="29">
        <v>4.95</v>
      </c>
      <c r="G1545" s="30" t="s">
        <v>39</v>
      </c>
      <c r="H1545" s="27" t="s">
        <v>94</v>
      </c>
      <c r="I1545" s="27" t="s">
        <v>49</v>
      </c>
      <c r="J1545" s="27" t="s">
        <v>72</v>
      </c>
      <c r="K1545" s="27" t="s">
        <v>73</v>
      </c>
      <c r="L1545" s="31" t="s">
        <v>2619</v>
      </c>
      <c r="M1545" s="32">
        <v>0.37</v>
      </c>
      <c r="N1545" s="27" t="s">
        <v>33</v>
      </c>
      <c r="O1545" s="27" t="s">
        <v>60</v>
      </c>
      <c r="P1545" s="27" t="s">
        <v>588</v>
      </c>
      <c r="Q1545" s="27" t="s">
        <v>2091</v>
      </c>
      <c r="R1545" s="33">
        <v>86442</v>
      </c>
      <c r="S1545" s="34">
        <v>42146</v>
      </c>
      <c r="T1545" s="34">
        <v>42148</v>
      </c>
      <c r="U1545" s="29">
        <v>-103.224</v>
      </c>
      <c r="V1545" s="26">
        <v>16</v>
      </c>
      <c r="W1545" s="29">
        <v>78.989999999999995</v>
      </c>
      <c r="X1545" s="26">
        <v>87677</v>
      </c>
      <c r="Y1545" s="35">
        <v>25.95</v>
      </c>
      <c r="Z1545" s="1" t="s">
        <v>3013</v>
      </c>
      <c r="AA1545" s="36">
        <v>4.7808000000000002</v>
      </c>
      <c r="AB1545" s="54">
        <v>49.7637</v>
      </c>
      <c r="AC1545" s="54">
        <v>1.8266437499999999</v>
      </c>
      <c r="AD1545" s="36">
        <v>172.48320000000001</v>
      </c>
    </row>
    <row r="1546" spans="1:30" s="37" customFormat="1" ht="15.75" customHeight="1" x14ac:dyDescent="0.2">
      <c r="A1546" s="26">
        <v>188</v>
      </c>
      <c r="B1546" s="27" t="s">
        <v>2620</v>
      </c>
      <c r="C1546" s="27" t="s">
        <v>38</v>
      </c>
      <c r="D1546" s="28">
        <v>7.0000000000000007E-2</v>
      </c>
      <c r="E1546" s="29">
        <v>1.68</v>
      </c>
      <c r="F1546" s="29">
        <v>1.57</v>
      </c>
      <c r="G1546" s="30" t="s">
        <v>39</v>
      </c>
      <c r="H1546" s="27" t="s">
        <v>94</v>
      </c>
      <c r="I1546" s="27" t="s">
        <v>49</v>
      </c>
      <c r="J1546" s="27" t="s">
        <v>50</v>
      </c>
      <c r="K1546" s="27" t="s">
        <v>51</v>
      </c>
      <c r="L1546" s="31" t="s">
        <v>574</v>
      </c>
      <c r="M1546" s="32">
        <v>0.59</v>
      </c>
      <c r="N1546" s="27" t="s">
        <v>33</v>
      </c>
      <c r="O1546" s="27" t="s">
        <v>53</v>
      </c>
      <c r="P1546" s="27" t="s">
        <v>187</v>
      </c>
      <c r="Q1546" s="27" t="s">
        <v>1957</v>
      </c>
      <c r="R1546" s="33">
        <v>76240</v>
      </c>
      <c r="S1546" s="34">
        <v>42146</v>
      </c>
      <c r="T1546" s="34">
        <v>42147</v>
      </c>
      <c r="U1546" s="29">
        <v>7.15</v>
      </c>
      <c r="V1546" s="26">
        <v>29</v>
      </c>
      <c r="W1546" s="29">
        <v>46.65</v>
      </c>
      <c r="X1546" s="26">
        <v>88361</v>
      </c>
      <c r="Y1546" s="35">
        <v>20.88</v>
      </c>
      <c r="Z1546" s="1" t="s">
        <v>3012</v>
      </c>
      <c r="AA1546" s="36">
        <v>3.4104000000000001</v>
      </c>
      <c r="AB1546" s="54">
        <v>19.1265</v>
      </c>
      <c r="AC1546" s="54">
        <v>0.94908620689655165</v>
      </c>
      <c r="AD1546" s="36">
        <v>34.519599999999997</v>
      </c>
    </row>
    <row r="1547" spans="1:30" s="37" customFormat="1" ht="15.75" customHeight="1" x14ac:dyDescent="0.2">
      <c r="A1547" s="26">
        <v>540</v>
      </c>
      <c r="B1547" s="27" t="s">
        <v>2508</v>
      </c>
      <c r="C1547" s="27" t="s">
        <v>116</v>
      </c>
      <c r="D1547" s="28">
        <v>0.05</v>
      </c>
      <c r="E1547" s="29">
        <v>204.1</v>
      </c>
      <c r="F1547" s="29">
        <v>13.99</v>
      </c>
      <c r="G1547" s="30" t="s">
        <v>39</v>
      </c>
      <c r="H1547" s="27" t="s">
        <v>3095</v>
      </c>
      <c r="I1547" s="27" t="s">
        <v>41</v>
      </c>
      <c r="J1547" s="27" t="s">
        <v>57</v>
      </c>
      <c r="K1547" s="27" t="s">
        <v>144</v>
      </c>
      <c r="L1547" s="31" t="s">
        <v>2640</v>
      </c>
      <c r="M1547" s="32">
        <v>0.37</v>
      </c>
      <c r="N1547" s="27" t="s">
        <v>33</v>
      </c>
      <c r="O1547" s="27" t="s">
        <v>53</v>
      </c>
      <c r="P1547" s="27" t="s">
        <v>103</v>
      </c>
      <c r="Q1547" s="27" t="s">
        <v>2510</v>
      </c>
      <c r="R1547" s="33">
        <v>60061</v>
      </c>
      <c r="S1547" s="34">
        <v>42147</v>
      </c>
      <c r="T1547" s="34">
        <v>42149</v>
      </c>
      <c r="U1547" s="29">
        <v>5924.1122999999998</v>
      </c>
      <c r="V1547" s="26">
        <v>41</v>
      </c>
      <c r="W1547" s="29">
        <v>8585.67</v>
      </c>
      <c r="X1547" s="26">
        <v>91175</v>
      </c>
      <c r="Y1547" s="35">
        <v>2.1500000000000004</v>
      </c>
      <c r="Z1547" s="1" t="s">
        <v>3012</v>
      </c>
      <c r="AA1547" s="36">
        <v>418.40500000000003</v>
      </c>
      <c r="AB1547" s="54">
        <v>5408.9721</v>
      </c>
      <c r="AC1547" s="54">
        <v>77.480436585365851</v>
      </c>
      <c r="AD1547" s="36">
        <v>2229.1627000000008</v>
      </c>
    </row>
    <row r="1548" spans="1:30" s="37" customFormat="1" ht="15.75" customHeight="1" x14ac:dyDescent="0.2">
      <c r="A1548" s="26">
        <v>2858</v>
      </c>
      <c r="B1548" s="27" t="s">
        <v>2551</v>
      </c>
      <c r="C1548" s="27" t="s">
        <v>48</v>
      </c>
      <c r="D1548" s="28">
        <v>0.1</v>
      </c>
      <c r="E1548" s="29">
        <v>130.97999999999999</v>
      </c>
      <c r="F1548" s="29">
        <v>54.74</v>
      </c>
      <c r="G1548" s="30" t="s">
        <v>27</v>
      </c>
      <c r="H1548" s="27" t="s">
        <v>94</v>
      </c>
      <c r="I1548" s="27" t="s">
        <v>29</v>
      </c>
      <c r="J1548" s="27" t="s">
        <v>117</v>
      </c>
      <c r="K1548" s="27" t="s">
        <v>31</v>
      </c>
      <c r="L1548" s="31" t="s">
        <v>1403</v>
      </c>
      <c r="M1548" s="32">
        <v>0.69</v>
      </c>
      <c r="N1548" s="27" t="s">
        <v>33</v>
      </c>
      <c r="O1548" s="27" t="s">
        <v>34</v>
      </c>
      <c r="P1548" s="27" t="s">
        <v>123</v>
      </c>
      <c r="Q1548" s="27" t="s">
        <v>1363</v>
      </c>
      <c r="R1548" s="33">
        <v>32259</v>
      </c>
      <c r="S1548" s="34">
        <v>42147</v>
      </c>
      <c r="T1548" s="34">
        <v>42147</v>
      </c>
      <c r="U1548" s="29">
        <v>669.61199999999997</v>
      </c>
      <c r="V1548" s="26">
        <v>42</v>
      </c>
      <c r="W1548" s="29">
        <v>5295.03</v>
      </c>
      <c r="X1548" s="26">
        <v>88282</v>
      </c>
      <c r="Y1548" s="35">
        <v>21.31</v>
      </c>
      <c r="Z1548" s="1" t="s">
        <v>3011</v>
      </c>
      <c r="AA1548" s="36">
        <v>550.11599999999999</v>
      </c>
      <c r="AB1548" s="54">
        <v>1641.4593000000002</v>
      </c>
      <c r="AC1548" s="54">
        <v>86.989778571428559</v>
      </c>
      <c r="AD1548" s="36">
        <v>4020.5619999999999</v>
      </c>
    </row>
    <row r="1549" spans="1:30" s="37" customFormat="1" ht="15.75" customHeight="1" x14ac:dyDescent="0.2">
      <c r="A1549" s="26">
        <v>2858</v>
      </c>
      <c r="B1549" s="27" t="s">
        <v>2551</v>
      </c>
      <c r="C1549" s="27" t="s">
        <v>48</v>
      </c>
      <c r="D1549" s="28">
        <v>0.04</v>
      </c>
      <c r="E1549" s="29">
        <v>67.28</v>
      </c>
      <c r="F1549" s="29">
        <v>19.989999999999998</v>
      </c>
      <c r="G1549" s="30" t="s">
        <v>39</v>
      </c>
      <c r="H1549" s="27" t="s">
        <v>94</v>
      </c>
      <c r="I1549" s="27" t="s">
        <v>49</v>
      </c>
      <c r="J1549" s="27" t="s">
        <v>72</v>
      </c>
      <c r="K1549" s="27" t="s">
        <v>73</v>
      </c>
      <c r="L1549" s="31" t="s">
        <v>1951</v>
      </c>
      <c r="M1549" s="32">
        <v>0.4</v>
      </c>
      <c r="N1549" s="27" t="s">
        <v>33</v>
      </c>
      <c r="O1549" s="27" t="s">
        <v>34</v>
      </c>
      <c r="P1549" s="27" t="s">
        <v>123</v>
      </c>
      <c r="Q1549" s="27" t="s">
        <v>1363</v>
      </c>
      <c r="R1549" s="33">
        <v>32259</v>
      </c>
      <c r="S1549" s="34">
        <v>42147</v>
      </c>
      <c r="T1549" s="34">
        <v>42152</v>
      </c>
      <c r="U1549" s="29">
        <v>14.754</v>
      </c>
      <c r="V1549" s="26">
        <v>30</v>
      </c>
      <c r="W1549" s="29">
        <v>2051.6799999999998</v>
      </c>
      <c r="X1549" s="26">
        <v>88282</v>
      </c>
      <c r="Y1549" s="35">
        <v>2.54</v>
      </c>
      <c r="Z1549" s="1" t="s">
        <v>3011</v>
      </c>
      <c r="AA1549" s="36">
        <v>80.736000000000004</v>
      </c>
      <c r="AB1549" s="54">
        <v>1231.0079999999998</v>
      </c>
      <c r="AC1549" s="54">
        <v>27.355733333333333</v>
      </c>
      <c r="AD1549" s="36">
        <v>1936.1999999999998</v>
      </c>
    </row>
    <row r="1550" spans="1:30" s="37" customFormat="1" ht="15.75" customHeight="1" x14ac:dyDescent="0.2">
      <c r="A1550" s="26">
        <v>398</v>
      </c>
      <c r="B1550" s="27" t="s">
        <v>2638</v>
      </c>
      <c r="C1550" s="27" t="s">
        <v>116</v>
      </c>
      <c r="D1550" s="28">
        <v>0.05</v>
      </c>
      <c r="E1550" s="29">
        <v>63.94</v>
      </c>
      <c r="F1550" s="29">
        <v>14.48</v>
      </c>
      <c r="G1550" s="30" t="s">
        <v>39</v>
      </c>
      <c r="H1550" s="27" t="s">
        <v>94</v>
      </c>
      <c r="I1550" s="27" t="s">
        <v>29</v>
      </c>
      <c r="J1550" s="27" t="s">
        <v>126</v>
      </c>
      <c r="K1550" s="27" t="s">
        <v>73</v>
      </c>
      <c r="L1550" s="31" t="s">
        <v>1994</v>
      </c>
      <c r="M1550" s="32">
        <v>0.46</v>
      </c>
      <c r="N1550" s="27" t="s">
        <v>33</v>
      </c>
      <c r="O1550" s="27" t="s">
        <v>111</v>
      </c>
      <c r="P1550" s="27" t="s">
        <v>317</v>
      </c>
      <c r="Q1550" s="27" t="s">
        <v>2639</v>
      </c>
      <c r="R1550" s="33">
        <v>45406</v>
      </c>
      <c r="S1550" s="34">
        <v>42147</v>
      </c>
      <c r="T1550" s="34">
        <v>42149</v>
      </c>
      <c r="U1550" s="29">
        <v>1372.6307999999999</v>
      </c>
      <c r="V1550" s="26">
        <v>31</v>
      </c>
      <c r="W1550" s="29">
        <v>1989.32</v>
      </c>
      <c r="X1550" s="26">
        <v>89320</v>
      </c>
      <c r="Y1550" s="35">
        <v>42.769999999999996</v>
      </c>
      <c r="Z1550" s="1" t="s">
        <v>3014</v>
      </c>
      <c r="AA1550" s="36">
        <v>99.106999999999999</v>
      </c>
      <c r="AB1550" s="54">
        <v>1074.2328</v>
      </c>
      <c r="AC1550" s="54">
        <v>29.518941935483873</v>
      </c>
      <c r="AD1550" s="36">
        <v>503.10220000000004</v>
      </c>
    </row>
    <row r="1551" spans="1:30" s="37" customFormat="1" ht="15.75" customHeight="1" x14ac:dyDescent="0.2">
      <c r="A1551" s="26">
        <v>1814</v>
      </c>
      <c r="B1551" s="27" t="s">
        <v>2641</v>
      </c>
      <c r="C1551" s="27" t="s">
        <v>3094</v>
      </c>
      <c r="D1551" s="28">
        <v>0.09</v>
      </c>
      <c r="E1551" s="29">
        <v>77.510000000000005</v>
      </c>
      <c r="F1551" s="29">
        <v>4</v>
      </c>
      <c r="G1551" s="30" t="s">
        <v>87</v>
      </c>
      <c r="H1551" s="27" t="s">
        <v>71</v>
      </c>
      <c r="I1551" s="27" t="s">
        <v>41</v>
      </c>
      <c r="J1551" s="27" t="s">
        <v>42</v>
      </c>
      <c r="K1551" s="27" t="s">
        <v>73</v>
      </c>
      <c r="L1551" s="31" t="s">
        <v>2049</v>
      </c>
      <c r="M1551" s="32">
        <v>0.76</v>
      </c>
      <c r="N1551" s="27" t="s">
        <v>33</v>
      </c>
      <c r="O1551" s="27" t="s">
        <v>34</v>
      </c>
      <c r="P1551" s="27" t="s">
        <v>35</v>
      </c>
      <c r="Q1551" s="27" t="s">
        <v>2642</v>
      </c>
      <c r="R1551" s="33">
        <v>38654</v>
      </c>
      <c r="S1551" s="34">
        <v>42147</v>
      </c>
      <c r="T1551" s="34">
        <v>42149</v>
      </c>
      <c r="U1551" s="29">
        <v>-986.524</v>
      </c>
      <c r="V1551" s="26">
        <v>17</v>
      </c>
      <c r="W1551" s="29">
        <v>1300.54</v>
      </c>
      <c r="X1551" s="26">
        <v>90524</v>
      </c>
      <c r="Y1551" s="35">
        <v>16.84</v>
      </c>
      <c r="Z1551" s="1" t="s">
        <v>3011</v>
      </c>
      <c r="AA1551" s="36">
        <v>118.5903</v>
      </c>
      <c r="AB1551" s="54">
        <v>312.12959999999998</v>
      </c>
      <c r="AC1551" s="54">
        <v>58.141788235294115</v>
      </c>
      <c r="AD1551" s="36">
        <v>2164.4737</v>
      </c>
    </row>
    <row r="1552" spans="1:30" s="37" customFormat="1" ht="15.75" customHeight="1" x14ac:dyDescent="0.2">
      <c r="A1552" s="26">
        <v>3249</v>
      </c>
      <c r="B1552" s="27" t="s">
        <v>2632</v>
      </c>
      <c r="C1552" s="27" t="s">
        <v>38</v>
      </c>
      <c r="D1552" s="28">
        <v>0.03</v>
      </c>
      <c r="E1552" s="29">
        <v>42.8</v>
      </c>
      <c r="F1552" s="29">
        <v>2.99</v>
      </c>
      <c r="G1552" s="30" t="s">
        <v>39</v>
      </c>
      <c r="H1552" s="27" t="s">
        <v>94</v>
      </c>
      <c r="I1552" s="27" t="s">
        <v>49</v>
      </c>
      <c r="J1552" s="27" t="s">
        <v>72</v>
      </c>
      <c r="K1552" s="27" t="s">
        <v>73</v>
      </c>
      <c r="L1552" s="31" t="s">
        <v>2633</v>
      </c>
      <c r="M1552" s="32">
        <v>0.36</v>
      </c>
      <c r="N1552" s="27" t="s">
        <v>33</v>
      </c>
      <c r="O1552" s="27" t="s">
        <v>111</v>
      </c>
      <c r="P1552" s="27" t="s">
        <v>418</v>
      </c>
      <c r="Q1552" s="27" t="s">
        <v>2634</v>
      </c>
      <c r="R1552" s="33">
        <v>21403</v>
      </c>
      <c r="S1552" s="34">
        <v>42147</v>
      </c>
      <c r="T1552" s="34">
        <v>42148</v>
      </c>
      <c r="U1552" s="29">
        <v>462.92099999999999</v>
      </c>
      <c r="V1552" s="26">
        <v>16</v>
      </c>
      <c r="W1552" s="29">
        <v>670.9</v>
      </c>
      <c r="X1552" s="26">
        <v>87298</v>
      </c>
      <c r="Y1552" s="35">
        <v>67.239999999999995</v>
      </c>
      <c r="Z1552" s="1" t="s">
        <v>3014</v>
      </c>
      <c r="AA1552" s="36">
        <v>20.543999999999997</v>
      </c>
      <c r="AB1552" s="54">
        <v>429.37599999999998</v>
      </c>
      <c r="AC1552" s="54">
        <v>15.095249999999998</v>
      </c>
      <c r="AD1552" s="36">
        <v>184.44499999999999</v>
      </c>
    </row>
    <row r="1553" spans="1:30" s="37" customFormat="1" ht="15.75" customHeight="1" x14ac:dyDescent="0.2">
      <c r="A1553" s="26">
        <v>460</v>
      </c>
      <c r="B1553" s="27" t="s">
        <v>2635</v>
      </c>
      <c r="C1553" s="27" t="s">
        <v>48</v>
      </c>
      <c r="D1553" s="28">
        <v>7.0000000000000007E-2</v>
      </c>
      <c r="E1553" s="29">
        <v>16.91</v>
      </c>
      <c r="F1553" s="29">
        <v>6.25</v>
      </c>
      <c r="G1553" s="30" t="s">
        <v>39</v>
      </c>
      <c r="H1553" s="27" t="s">
        <v>71</v>
      </c>
      <c r="I1553" s="27" t="s">
        <v>49</v>
      </c>
      <c r="J1553" s="27" t="s">
        <v>78</v>
      </c>
      <c r="K1553" s="27" t="s">
        <v>73</v>
      </c>
      <c r="L1553" s="31" t="s">
        <v>2636</v>
      </c>
      <c r="M1553" s="32">
        <v>0.57999999999999996</v>
      </c>
      <c r="N1553" s="27" t="s">
        <v>33</v>
      </c>
      <c r="O1553" s="27" t="s">
        <v>111</v>
      </c>
      <c r="P1553" s="27" t="s">
        <v>397</v>
      </c>
      <c r="Q1553" s="27" t="s">
        <v>2637</v>
      </c>
      <c r="R1553" s="33">
        <v>8332</v>
      </c>
      <c r="S1553" s="34">
        <v>42147</v>
      </c>
      <c r="T1553" s="34">
        <v>42154</v>
      </c>
      <c r="U1553" s="29">
        <v>7.9</v>
      </c>
      <c r="V1553" s="26">
        <v>31</v>
      </c>
      <c r="W1553" s="29">
        <v>492.9</v>
      </c>
      <c r="X1553" s="26">
        <v>86014</v>
      </c>
      <c r="Y1553" s="35">
        <v>130.88</v>
      </c>
      <c r="Z1553" s="1" t="s">
        <v>3014</v>
      </c>
      <c r="AA1553" s="36">
        <v>36.694700000000005</v>
      </c>
      <c r="AB1553" s="54">
        <v>207.018</v>
      </c>
      <c r="AC1553" s="54">
        <v>9.2219999999999978</v>
      </c>
      <c r="AD1553" s="36">
        <v>442.05529999999999</v>
      </c>
    </row>
    <row r="1554" spans="1:30" s="37" customFormat="1" ht="15.75" customHeight="1" x14ac:dyDescent="0.2">
      <c r="A1554" s="26">
        <v>2858</v>
      </c>
      <c r="B1554" s="27" t="s">
        <v>2551</v>
      </c>
      <c r="C1554" s="27" t="s">
        <v>48</v>
      </c>
      <c r="D1554" s="28">
        <v>0.04</v>
      </c>
      <c r="E1554" s="29">
        <v>2.78</v>
      </c>
      <c r="F1554" s="29">
        <v>1.25</v>
      </c>
      <c r="G1554" s="30" t="s">
        <v>39</v>
      </c>
      <c r="H1554" s="27" t="s">
        <v>94</v>
      </c>
      <c r="I1554" s="27" t="s">
        <v>49</v>
      </c>
      <c r="J1554" s="27" t="s">
        <v>50</v>
      </c>
      <c r="K1554" s="27" t="s">
        <v>51</v>
      </c>
      <c r="L1554" s="31" t="s">
        <v>382</v>
      </c>
      <c r="M1554" s="32">
        <v>0.59</v>
      </c>
      <c r="N1554" s="27" t="s">
        <v>33</v>
      </c>
      <c r="O1554" s="27" t="s">
        <v>34</v>
      </c>
      <c r="P1554" s="27" t="s">
        <v>123</v>
      </c>
      <c r="Q1554" s="27" t="s">
        <v>1363</v>
      </c>
      <c r="R1554" s="33">
        <v>32259</v>
      </c>
      <c r="S1554" s="34">
        <v>42147</v>
      </c>
      <c r="T1554" s="34">
        <v>42147</v>
      </c>
      <c r="U1554" s="29">
        <v>213</v>
      </c>
      <c r="V1554" s="26">
        <v>28</v>
      </c>
      <c r="W1554" s="29">
        <v>80.27</v>
      </c>
      <c r="X1554" s="26">
        <v>88282</v>
      </c>
      <c r="Y1554" s="35">
        <v>2.7399999999999998</v>
      </c>
      <c r="Z1554" s="1" t="s">
        <v>3011</v>
      </c>
      <c r="AA1554" s="36">
        <v>3.1135999999999999</v>
      </c>
      <c r="AB1554" s="54">
        <v>32.910699999999999</v>
      </c>
      <c r="AC1554" s="54">
        <v>1.6914035714285713</v>
      </c>
      <c r="AD1554" s="36">
        <v>-137.09359999999998</v>
      </c>
    </row>
    <row r="1555" spans="1:30" s="37" customFormat="1" ht="15.75" customHeight="1" x14ac:dyDescent="0.2">
      <c r="A1555" s="26">
        <v>2527</v>
      </c>
      <c r="B1555" s="27" t="s">
        <v>2628</v>
      </c>
      <c r="C1555" s="27" t="s">
        <v>26</v>
      </c>
      <c r="D1555" s="28">
        <v>7.0000000000000007E-2</v>
      </c>
      <c r="E1555" s="29">
        <v>21.38</v>
      </c>
      <c r="F1555" s="29">
        <v>8.99</v>
      </c>
      <c r="G1555" s="30" t="s">
        <v>39</v>
      </c>
      <c r="H1555" s="27" t="s">
        <v>94</v>
      </c>
      <c r="I1555" s="27" t="s">
        <v>49</v>
      </c>
      <c r="J1555" s="27" t="s">
        <v>50</v>
      </c>
      <c r="K1555" s="27" t="s">
        <v>43</v>
      </c>
      <c r="L1555" s="31" t="s">
        <v>1677</v>
      </c>
      <c r="M1555" s="32">
        <v>0.59</v>
      </c>
      <c r="N1555" s="27" t="s">
        <v>33</v>
      </c>
      <c r="O1555" s="27" t="s">
        <v>34</v>
      </c>
      <c r="P1555" s="27" t="s">
        <v>168</v>
      </c>
      <c r="Q1555" s="27" t="s">
        <v>2629</v>
      </c>
      <c r="R1555" s="33">
        <v>70601</v>
      </c>
      <c r="S1555" s="34">
        <v>42147</v>
      </c>
      <c r="T1555" s="34">
        <v>42149</v>
      </c>
      <c r="U1555" s="29">
        <v>-39.396000000000001</v>
      </c>
      <c r="V1555" s="26">
        <v>3</v>
      </c>
      <c r="W1555" s="29">
        <v>68.64</v>
      </c>
      <c r="X1555" s="26">
        <v>87208</v>
      </c>
      <c r="Y1555" s="35">
        <v>63.89</v>
      </c>
      <c r="Z1555" s="1" t="s">
        <v>3011</v>
      </c>
      <c r="AA1555" s="36">
        <v>4.4898000000000007</v>
      </c>
      <c r="AB1555" s="54">
        <v>28.142400000000002</v>
      </c>
      <c r="AC1555" s="54">
        <v>13.499199999999998</v>
      </c>
      <c r="AD1555" s="36">
        <v>94.55619999999999</v>
      </c>
    </row>
    <row r="1556" spans="1:30" s="37" customFormat="1" ht="15.75" customHeight="1" x14ac:dyDescent="0.2">
      <c r="A1556" s="26">
        <v>2526</v>
      </c>
      <c r="B1556" s="27" t="s">
        <v>2627</v>
      </c>
      <c r="C1556" s="27" t="s">
        <v>26</v>
      </c>
      <c r="D1556" s="28">
        <v>0.01</v>
      </c>
      <c r="E1556" s="29">
        <v>2.16</v>
      </c>
      <c r="F1556" s="29">
        <v>6.05</v>
      </c>
      <c r="G1556" s="30" t="s">
        <v>39</v>
      </c>
      <c r="H1556" s="27" t="s">
        <v>94</v>
      </c>
      <c r="I1556" s="27" t="s">
        <v>49</v>
      </c>
      <c r="J1556" s="27" t="s">
        <v>72</v>
      </c>
      <c r="K1556" s="27" t="s">
        <v>73</v>
      </c>
      <c r="L1556" s="31" t="s">
        <v>896</v>
      </c>
      <c r="M1556" s="32">
        <v>0.37</v>
      </c>
      <c r="N1556" s="27" t="s">
        <v>33</v>
      </c>
      <c r="O1556" s="27" t="s">
        <v>34</v>
      </c>
      <c r="P1556" s="27" t="s">
        <v>168</v>
      </c>
      <c r="Q1556" s="27" t="s">
        <v>2029</v>
      </c>
      <c r="R1556" s="33">
        <v>70506</v>
      </c>
      <c r="S1556" s="34">
        <v>42147</v>
      </c>
      <c r="T1556" s="34">
        <v>42149</v>
      </c>
      <c r="U1556" s="29">
        <v>395.76</v>
      </c>
      <c r="V1556" s="26">
        <v>24</v>
      </c>
      <c r="W1556" s="29">
        <v>58.05</v>
      </c>
      <c r="X1556" s="26">
        <v>87208</v>
      </c>
      <c r="Y1556" s="35">
        <v>204.04999999999998</v>
      </c>
      <c r="Z1556" s="1" t="s">
        <v>3011</v>
      </c>
      <c r="AA1556" s="36">
        <v>0.51839999999999997</v>
      </c>
      <c r="AB1556" s="54">
        <v>36.5715</v>
      </c>
      <c r="AC1556" s="54">
        <v>0.89493749999999994</v>
      </c>
      <c r="AD1556" s="36">
        <v>-344.27839999999998</v>
      </c>
    </row>
    <row r="1557" spans="1:30" s="37" customFormat="1" ht="15.75" customHeight="1" x14ac:dyDescent="0.2">
      <c r="A1557" s="26">
        <v>2458</v>
      </c>
      <c r="B1557" s="27" t="s">
        <v>157</v>
      </c>
      <c r="C1557" s="27" t="s">
        <v>116</v>
      </c>
      <c r="D1557" s="28">
        <v>0.05</v>
      </c>
      <c r="E1557" s="29">
        <v>12.88</v>
      </c>
      <c r="F1557" s="29">
        <v>4.59</v>
      </c>
      <c r="G1557" s="30" t="s">
        <v>39</v>
      </c>
      <c r="H1557" s="27" t="s">
        <v>71</v>
      </c>
      <c r="I1557" s="27" t="s">
        <v>49</v>
      </c>
      <c r="J1557" s="27" t="s">
        <v>568</v>
      </c>
      <c r="K1557" s="27" t="s">
        <v>51</v>
      </c>
      <c r="L1557" s="31" t="s">
        <v>2031</v>
      </c>
      <c r="M1557" s="32">
        <v>0.82</v>
      </c>
      <c r="N1557" s="27" t="s">
        <v>33</v>
      </c>
      <c r="O1557" s="27" t="s">
        <v>53</v>
      </c>
      <c r="P1557" s="27" t="s">
        <v>84</v>
      </c>
      <c r="Q1557" s="27" t="s">
        <v>159</v>
      </c>
      <c r="R1557" s="33">
        <v>55410</v>
      </c>
      <c r="S1557" s="34">
        <v>42147</v>
      </c>
      <c r="T1557" s="34">
        <v>42149</v>
      </c>
      <c r="U1557" s="29">
        <v>5.98</v>
      </c>
      <c r="V1557" s="26">
        <v>3</v>
      </c>
      <c r="W1557" s="29">
        <v>42.35</v>
      </c>
      <c r="X1557" s="26">
        <v>91286</v>
      </c>
      <c r="Y1557" s="35">
        <v>12.83</v>
      </c>
      <c r="Z1557" s="1" t="s">
        <v>3012</v>
      </c>
      <c r="AA1557" s="36">
        <v>1.9320000000000004</v>
      </c>
      <c r="AB1557" s="54">
        <v>7.623000000000002</v>
      </c>
      <c r="AC1557" s="54">
        <v>11.575666666666667</v>
      </c>
      <c r="AD1557" s="36">
        <v>29.847999999999999</v>
      </c>
    </row>
    <row r="1558" spans="1:30" s="37" customFormat="1" ht="15.75" customHeight="1" x14ac:dyDescent="0.2">
      <c r="A1558" s="26">
        <v>1182</v>
      </c>
      <c r="B1558" s="27" t="s">
        <v>2630</v>
      </c>
      <c r="C1558" s="27" t="s">
        <v>38</v>
      </c>
      <c r="D1558" s="28">
        <v>7.0000000000000007E-2</v>
      </c>
      <c r="E1558" s="29">
        <v>2.61</v>
      </c>
      <c r="F1558" s="29">
        <v>0.5</v>
      </c>
      <c r="G1558" s="30" t="s">
        <v>39</v>
      </c>
      <c r="H1558" s="27" t="s">
        <v>71</v>
      </c>
      <c r="I1558" s="27" t="s">
        <v>49</v>
      </c>
      <c r="J1558" s="27" t="s">
        <v>152</v>
      </c>
      <c r="K1558" s="27" t="s">
        <v>73</v>
      </c>
      <c r="L1558" s="31" t="s">
        <v>1367</v>
      </c>
      <c r="M1558" s="32">
        <v>0.39</v>
      </c>
      <c r="N1558" s="27" t="s">
        <v>33</v>
      </c>
      <c r="O1558" s="27" t="s">
        <v>60</v>
      </c>
      <c r="P1558" s="27" t="s">
        <v>146</v>
      </c>
      <c r="Q1558" s="27" t="s">
        <v>2631</v>
      </c>
      <c r="R1558" s="33">
        <v>84660</v>
      </c>
      <c r="S1558" s="34">
        <v>42147</v>
      </c>
      <c r="T1558" s="34">
        <v>42147</v>
      </c>
      <c r="U1558" s="29">
        <v>27.013500000000001</v>
      </c>
      <c r="V1558" s="26">
        <v>15</v>
      </c>
      <c r="W1558" s="29">
        <v>39.15</v>
      </c>
      <c r="X1558" s="26">
        <v>86913</v>
      </c>
      <c r="Y1558" s="35">
        <v>77.42</v>
      </c>
      <c r="Z1558" s="1" t="s">
        <v>3013</v>
      </c>
      <c r="AA1558" s="36">
        <v>2.7404999999999999</v>
      </c>
      <c r="AB1558" s="54">
        <v>23.881499999999999</v>
      </c>
      <c r="AC1558" s="54">
        <v>1.0179</v>
      </c>
      <c r="AD1558" s="36">
        <v>8.8959999999999972</v>
      </c>
    </row>
    <row r="1559" spans="1:30" s="37" customFormat="1" ht="15.75" customHeight="1" x14ac:dyDescent="0.2">
      <c r="A1559" s="26">
        <v>1814</v>
      </c>
      <c r="B1559" s="27" t="s">
        <v>2641</v>
      </c>
      <c r="C1559" s="27" t="s">
        <v>3094</v>
      </c>
      <c r="D1559" s="28">
        <v>0</v>
      </c>
      <c r="E1559" s="29">
        <v>2.88</v>
      </c>
      <c r="F1559" s="29">
        <v>0.7</v>
      </c>
      <c r="G1559" s="30" t="s">
        <v>39</v>
      </c>
      <c r="H1559" s="27" t="s">
        <v>71</v>
      </c>
      <c r="I1559" s="27" t="s">
        <v>49</v>
      </c>
      <c r="J1559" s="27" t="s">
        <v>50</v>
      </c>
      <c r="K1559" s="27" t="s">
        <v>51</v>
      </c>
      <c r="L1559" s="31" t="s">
        <v>639</v>
      </c>
      <c r="M1559" s="32">
        <v>0.56000000000000005</v>
      </c>
      <c r="N1559" s="27" t="s">
        <v>33</v>
      </c>
      <c r="O1559" s="27" t="s">
        <v>34</v>
      </c>
      <c r="P1559" s="27" t="s">
        <v>35</v>
      </c>
      <c r="Q1559" s="27" t="s">
        <v>2642</v>
      </c>
      <c r="R1559" s="33">
        <v>38654</v>
      </c>
      <c r="S1559" s="34">
        <v>42147</v>
      </c>
      <c r="T1559" s="34">
        <v>42149</v>
      </c>
      <c r="U1559" s="29">
        <v>-141.666</v>
      </c>
      <c r="V1559" s="26">
        <v>13</v>
      </c>
      <c r="W1559" s="29">
        <v>38.06</v>
      </c>
      <c r="X1559" s="26">
        <v>90524</v>
      </c>
      <c r="Y1559" s="35">
        <v>2.88</v>
      </c>
      <c r="Z1559" s="1" t="s">
        <v>3011</v>
      </c>
      <c r="AA1559" s="36">
        <v>0</v>
      </c>
      <c r="AB1559" s="54">
        <v>16.746399999999998</v>
      </c>
      <c r="AC1559" s="54">
        <v>1.6395076923076926</v>
      </c>
      <c r="AD1559" s="36">
        <v>179.02600000000001</v>
      </c>
    </row>
    <row r="1560" spans="1:30" s="37" customFormat="1" ht="15.75" customHeight="1" x14ac:dyDescent="0.2">
      <c r="A1560" s="26">
        <v>2450</v>
      </c>
      <c r="B1560" s="27" t="s">
        <v>2643</v>
      </c>
      <c r="C1560" s="27" t="s">
        <v>3094</v>
      </c>
      <c r="D1560" s="28">
        <v>0.08</v>
      </c>
      <c r="E1560" s="29">
        <v>4.13</v>
      </c>
      <c r="F1560" s="29">
        <v>1.17</v>
      </c>
      <c r="G1560" s="30" t="s">
        <v>39</v>
      </c>
      <c r="H1560" s="27" t="s">
        <v>71</v>
      </c>
      <c r="I1560" s="27" t="s">
        <v>49</v>
      </c>
      <c r="J1560" s="27" t="s">
        <v>50</v>
      </c>
      <c r="K1560" s="27" t="s">
        <v>51</v>
      </c>
      <c r="L1560" s="31" t="s">
        <v>2644</v>
      </c>
      <c r="M1560" s="32">
        <v>0.56999999999999995</v>
      </c>
      <c r="N1560" s="27" t="s">
        <v>33</v>
      </c>
      <c r="O1560" s="27" t="s">
        <v>53</v>
      </c>
      <c r="P1560" s="27" t="s">
        <v>357</v>
      </c>
      <c r="Q1560" s="27" t="s">
        <v>2645</v>
      </c>
      <c r="R1560" s="33">
        <v>53545</v>
      </c>
      <c r="S1560" s="34">
        <v>42147</v>
      </c>
      <c r="T1560" s="34">
        <v>42149</v>
      </c>
      <c r="U1560" s="29">
        <v>-5.54</v>
      </c>
      <c r="V1560" s="26">
        <v>1</v>
      </c>
      <c r="W1560" s="29">
        <v>4.21</v>
      </c>
      <c r="X1560" s="26">
        <v>90322</v>
      </c>
      <c r="Y1560" s="35">
        <v>4.05</v>
      </c>
      <c r="Z1560" s="1" t="s">
        <v>3012</v>
      </c>
      <c r="AA1560" s="36">
        <v>0.33039999999999997</v>
      </c>
      <c r="AB1560" s="54">
        <v>1.8103000000000002</v>
      </c>
      <c r="AC1560" s="54">
        <v>2.3996999999999997</v>
      </c>
      <c r="AD1560" s="36">
        <v>8.2496000000000009</v>
      </c>
    </row>
    <row r="1561" spans="1:30" s="37" customFormat="1" ht="15.75" customHeight="1" x14ac:dyDescent="0.2">
      <c r="A1561" s="26">
        <v>3096</v>
      </c>
      <c r="B1561" s="27" t="s">
        <v>2653</v>
      </c>
      <c r="C1561" s="27" t="s">
        <v>38</v>
      </c>
      <c r="D1561" s="28">
        <v>0.02</v>
      </c>
      <c r="E1561" s="29">
        <v>262.11</v>
      </c>
      <c r="F1561" s="29">
        <v>62.74</v>
      </c>
      <c r="G1561" s="30" t="s">
        <v>27</v>
      </c>
      <c r="H1561" s="27" t="s">
        <v>40</v>
      </c>
      <c r="I1561" s="27" t="s">
        <v>29</v>
      </c>
      <c r="J1561" s="27" t="s">
        <v>30</v>
      </c>
      <c r="K1561" s="27" t="s">
        <v>31</v>
      </c>
      <c r="L1561" s="31" t="s">
        <v>2655</v>
      </c>
      <c r="M1561" s="32">
        <v>0.75</v>
      </c>
      <c r="N1561" s="27" t="s">
        <v>33</v>
      </c>
      <c r="O1561" s="27" t="s">
        <v>111</v>
      </c>
      <c r="P1561" s="27" t="s">
        <v>317</v>
      </c>
      <c r="Q1561" s="27" t="s">
        <v>2440</v>
      </c>
      <c r="R1561" s="33">
        <v>43026</v>
      </c>
      <c r="S1561" s="34">
        <v>42148</v>
      </c>
      <c r="T1561" s="34">
        <v>42149</v>
      </c>
      <c r="U1561" s="29">
        <v>-633.441237</v>
      </c>
      <c r="V1561" s="26">
        <v>9</v>
      </c>
      <c r="W1561" s="29">
        <v>2495.35</v>
      </c>
      <c r="X1561" s="26">
        <v>86221</v>
      </c>
      <c r="Y1561" s="35">
        <v>124.42</v>
      </c>
      <c r="Z1561" s="1" t="s">
        <v>3014</v>
      </c>
      <c r="AA1561" s="36">
        <v>47.1798</v>
      </c>
      <c r="AB1561" s="54">
        <v>623.83749999999998</v>
      </c>
      <c r="AC1561" s="54">
        <v>207.94583333333333</v>
      </c>
      <c r="AD1561" s="36">
        <v>3018.8714369999998</v>
      </c>
    </row>
    <row r="1562" spans="1:30" s="37" customFormat="1" ht="15.75" customHeight="1" x14ac:dyDescent="0.2">
      <c r="A1562" s="26">
        <v>1450</v>
      </c>
      <c r="B1562" s="27" t="s">
        <v>2657</v>
      </c>
      <c r="C1562" s="27" t="s">
        <v>116</v>
      </c>
      <c r="D1562" s="28">
        <v>0.1</v>
      </c>
      <c r="E1562" s="29">
        <v>218.08</v>
      </c>
      <c r="F1562" s="29">
        <v>18.059999999999999</v>
      </c>
      <c r="G1562" s="30" t="s">
        <v>87</v>
      </c>
      <c r="H1562" s="27" t="s">
        <v>40</v>
      </c>
      <c r="I1562" s="27" t="s">
        <v>29</v>
      </c>
      <c r="J1562" s="27" t="s">
        <v>109</v>
      </c>
      <c r="K1562" s="27" t="s">
        <v>65</v>
      </c>
      <c r="L1562" s="31" t="s">
        <v>2616</v>
      </c>
      <c r="M1562" s="32">
        <v>0.56999999999999995</v>
      </c>
      <c r="N1562" s="27" t="s">
        <v>33</v>
      </c>
      <c r="O1562" s="27" t="s">
        <v>60</v>
      </c>
      <c r="P1562" s="27" t="s">
        <v>90</v>
      </c>
      <c r="Q1562" s="27" t="s">
        <v>2658</v>
      </c>
      <c r="R1562" s="33">
        <v>96150</v>
      </c>
      <c r="S1562" s="34">
        <v>42148</v>
      </c>
      <c r="T1562" s="34">
        <v>42149</v>
      </c>
      <c r="U1562" s="29">
        <v>1318.83</v>
      </c>
      <c r="V1562" s="26">
        <v>12</v>
      </c>
      <c r="W1562" s="29">
        <v>2366.5100000000002</v>
      </c>
      <c r="X1562" s="26">
        <v>86735</v>
      </c>
      <c r="Y1562" s="35">
        <v>25.92</v>
      </c>
      <c r="Z1562" s="1" t="s">
        <v>3013</v>
      </c>
      <c r="AA1562" s="36">
        <v>261.69600000000003</v>
      </c>
      <c r="AB1562" s="54">
        <v>1017.5993000000002</v>
      </c>
      <c r="AC1562" s="54">
        <v>112.40922499999999</v>
      </c>
      <c r="AD1562" s="36">
        <v>767.92400000000043</v>
      </c>
    </row>
    <row r="1563" spans="1:30" s="37" customFormat="1" ht="15.75" customHeight="1" x14ac:dyDescent="0.2">
      <c r="A1563" s="26">
        <v>2422</v>
      </c>
      <c r="B1563" s="27" t="s">
        <v>725</v>
      </c>
      <c r="C1563" s="27" t="s">
        <v>3094</v>
      </c>
      <c r="D1563" s="28">
        <v>0.05</v>
      </c>
      <c r="E1563" s="29">
        <v>150.97999999999999</v>
      </c>
      <c r="F1563" s="29">
        <v>43.71</v>
      </c>
      <c r="G1563" s="30" t="s">
        <v>27</v>
      </c>
      <c r="H1563" s="27" t="s">
        <v>71</v>
      </c>
      <c r="I1563" s="27" t="s">
        <v>29</v>
      </c>
      <c r="J1563" s="27" t="s">
        <v>109</v>
      </c>
      <c r="K1563" s="27" t="s">
        <v>58</v>
      </c>
      <c r="L1563" s="31" t="s">
        <v>2659</v>
      </c>
      <c r="M1563" s="32">
        <v>0.55000000000000004</v>
      </c>
      <c r="N1563" s="27" t="s">
        <v>33</v>
      </c>
      <c r="O1563" s="27" t="s">
        <v>53</v>
      </c>
      <c r="P1563" s="27" t="s">
        <v>187</v>
      </c>
      <c r="Q1563" s="27" t="s">
        <v>727</v>
      </c>
      <c r="R1563" s="33">
        <v>77340</v>
      </c>
      <c r="S1563" s="34">
        <v>42148</v>
      </c>
      <c r="T1563" s="34">
        <v>42149</v>
      </c>
      <c r="U1563" s="29">
        <v>650.29999999999995</v>
      </c>
      <c r="V1563" s="26">
        <v>12</v>
      </c>
      <c r="W1563" s="29">
        <v>1857.08</v>
      </c>
      <c r="X1563" s="26">
        <v>89053</v>
      </c>
      <c r="Y1563" s="35">
        <v>14.95</v>
      </c>
      <c r="Z1563" s="1" t="s">
        <v>3012</v>
      </c>
      <c r="AA1563" s="36">
        <v>90.587999999999994</v>
      </c>
      <c r="AB1563" s="54">
        <v>835.68599999999992</v>
      </c>
      <c r="AC1563" s="54">
        <v>85.116166666666672</v>
      </c>
      <c r="AD1563" s="36">
        <v>1072.482</v>
      </c>
    </row>
    <row r="1564" spans="1:30" s="37" customFormat="1" ht="15.75" customHeight="1" x14ac:dyDescent="0.2">
      <c r="A1564" s="26">
        <v>357</v>
      </c>
      <c r="B1564" s="27" t="s">
        <v>2646</v>
      </c>
      <c r="C1564" s="27" t="s">
        <v>26</v>
      </c>
      <c r="D1564" s="28">
        <v>7.0000000000000007E-2</v>
      </c>
      <c r="E1564" s="29">
        <v>124.49</v>
      </c>
      <c r="F1564" s="29">
        <v>51.94</v>
      </c>
      <c r="G1564" s="30" t="s">
        <v>27</v>
      </c>
      <c r="H1564" s="27" t="s">
        <v>94</v>
      </c>
      <c r="I1564" s="27" t="s">
        <v>29</v>
      </c>
      <c r="J1564" s="27" t="s">
        <v>30</v>
      </c>
      <c r="K1564" s="27" t="s">
        <v>31</v>
      </c>
      <c r="L1564" s="31" t="s">
        <v>1149</v>
      </c>
      <c r="M1564" s="32">
        <v>0.63</v>
      </c>
      <c r="N1564" s="27" t="s">
        <v>33</v>
      </c>
      <c r="O1564" s="27" t="s">
        <v>60</v>
      </c>
      <c r="P1564" s="27" t="s">
        <v>588</v>
      </c>
      <c r="Q1564" s="27" t="s">
        <v>2647</v>
      </c>
      <c r="R1564" s="33">
        <v>86401</v>
      </c>
      <c r="S1564" s="34">
        <v>42148</v>
      </c>
      <c r="T1564" s="34">
        <v>42149</v>
      </c>
      <c r="U1564" s="29">
        <v>1074.44</v>
      </c>
      <c r="V1564" s="26">
        <v>14</v>
      </c>
      <c r="W1564" s="29">
        <v>1714.93</v>
      </c>
      <c r="X1564" s="26">
        <v>91131</v>
      </c>
      <c r="Y1564" s="35">
        <v>40.389999999999993</v>
      </c>
      <c r="Z1564" s="1" t="s">
        <v>3013</v>
      </c>
      <c r="AA1564" s="36">
        <v>122.00019999999999</v>
      </c>
      <c r="AB1564" s="54">
        <v>634.52409999999998</v>
      </c>
      <c r="AC1564" s="54">
        <v>77.171850000000006</v>
      </c>
      <c r="AD1564" s="36">
        <v>466.5498</v>
      </c>
    </row>
    <row r="1565" spans="1:30" s="37" customFormat="1" ht="15.75" customHeight="1" x14ac:dyDescent="0.2">
      <c r="A1565" s="26">
        <v>885</v>
      </c>
      <c r="B1565" s="27" t="s">
        <v>2648</v>
      </c>
      <c r="C1565" s="27" t="s">
        <v>26</v>
      </c>
      <c r="D1565" s="28">
        <v>0.06</v>
      </c>
      <c r="E1565" s="29">
        <v>25.98</v>
      </c>
      <c r="F1565" s="29">
        <v>14.36</v>
      </c>
      <c r="G1565" s="30" t="s">
        <v>27</v>
      </c>
      <c r="H1565" s="27" t="s">
        <v>94</v>
      </c>
      <c r="I1565" s="27" t="s">
        <v>29</v>
      </c>
      <c r="J1565" s="27" t="s">
        <v>109</v>
      </c>
      <c r="K1565" s="27" t="s">
        <v>58</v>
      </c>
      <c r="L1565" s="31" t="s">
        <v>784</v>
      </c>
      <c r="M1565" s="32">
        <v>0.6</v>
      </c>
      <c r="N1565" s="27" t="s">
        <v>33</v>
      </c>
      <c r="O1565" s="27" t="s">
        <v>53</v>
      </c>
      <c r="P1565" s="27" t="s">
        <v>187</v>
      </c>
      <c r="Q1565" s="27" t="s">
        <v>2649</v>
      </c>
      <c r="R1565" s="33">
        <v>79109</v>
      </c>
      <c r="S1565" s="34">
        <v>42148</v>
      </c>
      <c r="T1565" s="34">
        <v>42149</v>
      </c>
      <c r="U1565" s="29">
        <v>55.887999999999998</v>
      </c>
      <c r="V1565" s="26">
        <v>41</v>
      </c>
      <c r="W1565" s="29">
        <v>1033.56</v>
      </c>
      <c r="X1565" s="26">
        <v>89537</v>
      </c>
      <c r="Y1565" s="35">
        <v>12.229999999999999</v>
      </c>
      <c r="Z1565" s="1" t="s">
        <v>3012</v>
      </c>
      <c r="AA1565" s="36">
        <v>63.910800000000002</v>
      </c>
      <c r="AB1565" s="54">
        <v>413.42399999999998</v>
      </c>
      <c r="AC1565" s="54">
        <v>15.125268292682925</v>
      </c>
      <c r="AD1565" s="36">
        <v>899.40120000000002</v>
      </c>
    </row>
    <row r="1566" spans="1:30" s="37" customFormat="1" ht="15.75" customHeight="1" x14ac:dyDescent="0.2">
      <c r="A1566" s="26">
        <v>3366</v>
      </c>
      <c r="B1566" s="27" t="s">
        <v>2656</v>
      </c>
      <c r="C1566" s="27" t="s">
        <v>48</v>
      </c>
      <c r="D1566" s="28">
        <v>0.1</v>
      </c>
      <c r="E1566" s="29">
        <v>80.97</v>
      </c>
      <c r="F1566" s="29">
        <v>33.6</v>
      </c>
      <c r="G1566" s="30" t="s">
        <v>27</v>
      </c>
      <c r="H1566" s="27" t="s">
        <v>71</v>
      </c>
      <c r="I1566" s="27" t="s">
        <v>41</v>
      </c>
      <c r="J1566" s="27" t="s">
        <v>57</v>
      </c>
      <c r="K1566" s="27" t="s">
        <v>58</v>
      </c>
      <c r="L1566" s="31" t="s">
        <v>909</v>
      </c>
      <c r="M1566" s="32">
        <v>0.37</v>
      </c>
      <c r="N1566" s="27" t="s">
        <v>33</v>
      </c>
      <c r="O1566" s="27" t="s">
        <v>111</v>
      </c>
      <c r="P1566" s="27" t="s">
        <v>317</v>
      </c>
      <c r="Q1566" s="27" t="s">
        <v>581</v>
      </c>
      <c r="R1566" s="33">
        <v>45373</v>
      </c>
      <c r="S1566" s="34">
        <v>42148</v>
      </c>
      <c r="T1566" s="34">
        <v>42153</v>
      </c>
      <c r="U1566" s="29">
        <v>66.22</v>
      </c>
      <c r="V1566" s="26">
        <v>11</v>
      </c>
      <c r="W1566" s="29">
        <v>837.57</v>
      </c>
      <c r="X1566" s="26">
        <v>90501</v>
      </c>
      <c r="Y1566" s="35">
        <v>40.9</v>
      </c>
      <c r="Z1566" s="1" t="s">
        <v>3014</v>
      </c>
      <c r="AA1566" s="36">
        <v>89.066999999999993</v>
      </c>
      <c r="AB1566" s="54">
        <v>527.66910000000007</v>
      </c>
      <c r="AC1566" s="54">
        <v>28.172809090909091</v>
      </c>
      <c r="AD1566" s="36">
        <v>648.68299999999999</v>
      </c>
    </row>
    <row r="1567" spans="1:30" s="37" customFormat="1" ht="15.75" customHeight="1" x14ac:dyDescent="0.2">
      <c r="A1567" s="26">
        <v>1623</v>
      </c>
      <c r="B1567" s="27" t="s">
        <v>2650</v>
      </c>
      <c r="C1567" s="27" t="s">
        <v>38</v>
      </c>
      <c r="D1567" s="28">
        <v>0.09</v>
      </c>
      <c r="E1567" s="29">
        <v>40.479999999999997</v>
      </c>
      <c r="F1567" s="29">
        <v>19.989999999999998</v>
      </c>
      <c r="G1567" s="30" t="s">
        <v>39</v>
      </c>
      <c r="H1567" s="27" t="s">
        <v>3095</v>
      </c>
      <c r="I1567" s="27" t="s">
        <v>41</v>
      </c>
      <c r="J1567" s="27" t="s">
        <v>42</v>
      </c>
      <c r="K1567" s="27" t="s">
        <v>73</v>
      </c>
      <c r="L1567" s="31" t="s">
        <v>2054</v>
      </c>
      <c r="M1567" s="32">
        <v>0.77</v>
      </c>
      <c r="N1567" s="27" t="s">
        <v>33</v>
      </c>
      <c r="O1567" s="27" t="s">
        <v>53</v>
      </c>
      <c r="P1567" s="27" t="s">
        <v>54</v>
      </c>
      <c r="Q1567" s="27" t="s">
        <v>2652</v>
      </c>
      <c r="R1567" s="33">
        <v>46375</v>
      </c>
      <c r="S1567" s="34">
        <v>42148</v>
      </c>
      <c r="T1567" s="34">
        <v>42150</v>
      </c>
      <c r="U1567" s="29">
        <v>65.394000000000005</v>
      </c>
      <c r="V1567" s="26">
        <v>12</v>
      </c>
      <c r="W1567" s="29">
        <v>472.44</v>
      </c>
      <c r="X1567" s="26">
        <v>87611</v>
      </c>
      <c r="Y1567" s="35">
        <v>8.0399999999999991</v>
      </c>
      <c r="Z1567" s="1" t="s">
        <v>3012</v>
      </c>
      <c r="AA1567" s="36">
        <v>43.718399999999995</v>
      </c>
      <c r="AB1567" s="54">
        <v>108.66119999999999</v>
      </c>
      <c r="AC1567" s="54">
        <v>30.314899999999998</v>
      </c>
      <c r="AD1567" s="36">
        <v>343.33760000000001</v>
      </c>
    </row>
    <row r="1568" spans="1:30" s="37" customFormat="1" ht="15.75" customHeight="1" x14ac:dyDescent="0.2">
      <c r="A1568" s="26">
        <v>1623</v>
      </c>
      <c r="B1568" s="27" t="s">
        <v>2650</v>
      </c>
      <c r="C1568" s="27" t="s">
        <v>38</v>
      </c>
      <c r="D1568" s="28">
        <v>0.06</v>
      </c>
      <c r="E1568" s="29">
        <v>15.01</v>
      </c>
      <c r="F1568" s="29">
        <v>8.4</v>
      </c>
      <c r="G1568" s="30" t="s">
        <v>39</v>
      </c>
      <c r="H1568" s="27" t="s">
        <v>3095</v>
      </c>
      <c r="I1568" s="27" t="s">
        <v>49</v>
      </c>
      <c r="J1568" s="27" t="s">
        <v>72</v>
      </c>
      <c r="K1568" s="27" t="s">
        <v>73</v>
      </c>
      <c r="L1568" s="31" t="s">
        <v>2651</v>
      </c>
      <c r="M1568" s="32">
        <v>0.39</v>
      </c>
      <c r="N1568" s="27" t="s">
        <v>33</v>
      </c>
      <c r="O1568" s="27" t="s">
        <v>53</v>
      </c>
      <c r="P1568" s="27" t="s">
        <v>54</v>
      </c>
      <c r="Q1568" s="27" t="s">
        <v>2652</v>
      </c>
      <c r="R1568" s="33">
        <v>46375</v>
      </c>
      <c r="S1568" s="34">
        <v>42148</v>
      </c>
      <c r="T1568" s="34">
        <v>42150</v>
      </c>
      <c r="U1568" s="29">
        <v>1.6169</v>
      </c>
      <c r="V1568" s="26">
        <v>22</v>
      </c>
      <c r="W1568" s="29">
        <v>333.04</v>
      </c>
      <c r="X1568" s="26">
        <v>87611</v>
      </c>
      <c r="Y1568" s="35">
        <v>262.09000000000003</v>
      </c>
      <c r="Z1568" s="1" t="s">
        <v>3012</v>
      </c>
      <c r="AA1568" s="36">
        <v>19.813199999999998</v>
      </c>
      <c r="AB1568" s="54">
        <v>203.15440000000001</v>
      </c>
      <c r="AC1568" s="54">
        <v>5.9038909090909097</v>
      </c>
      <c r="AD1568" s="36">
        <v>303.2099</v>
      </c>
    </row>
    <row r="1569" spans="1:30" s="37" customFormat="1" ht="15.75" customHeight="1" x14ac:dyDescent="0.2">
      <c r="A1569" s="26">
        <v>3063</v>
      </c>
      <c r="B1569" s="27" t="s">
        <v>1391</v>
      </c>
      <c r="C1569" s="27" t="s">
        <v>3094</v>
      </c>
      <c r="D1569" s="28">
        <v>0.03</v>
      </c>
      <c r="E1569" s="29">
        <v>20.99</v>
      </c>
      <c r="F1569" s="29">
        <v>0.99</v>
      </c>
      <c r="G1569" s="30" t="s">
        <v>39</v>
      </c>
      <c r="H1569" s="27" t="s">
        <v>40</v>
      </c>
      <c r="I1569" s="27" t="s">
        <v>41</v>
      </c>
      <c r="J1569" s="27" t="s">
        <v>135</v>
      </c>
      <c r="K1569" s="27" t="s">
        <v>51</v>
      </c>
      <c r="L1569" s="31" t="s">
        <v>2331</v>
      </c>
      <c r="M1569" s="32">
        <v>0.56999999999999995</v>
      </c>
      <c r="N1569" s="27" t="s">
        <v>33</v>
      </c>
      <c r="O1569" s="27" t="s">
        <v>60</v>
      </c>
      <c r="P1569" s="27" t="s">
        <v>67</v>
      </c>
      <c r="Q1569" s="27" t="s">
        <v>1392</v>
      </c>
      <c r="R1569" s="33">
        <v>98034</v>
      </c>
      <c r="S1569" s="34">
        <v>42148</v>
      </c>
      <c r="T1569" s="34">
        <v>42150</v>
      </c>
      <c r="U1569" s="29">
        <v>4.1821999999999999</v>
      </c>
      <c r="V1569" s="26">
        <v>9</v>
      </c>
      <c r="W1569" s="29">
        <v>158.87</v>
      </c>
      <c r="X1569" s="26">
        <v>88449</v>
      </c>
      <c r="Y1569" s="35">
        <v>80.87</v>
      </c>
      <c r="Z1569" s="1" t="s">
        <v>3013</v>
      </c>
      <c r="AA1569" s="36">
        <v>5.6672999999999991</v>
      </c>
      <c r="AB1569" s="54">
        <v>68.31410000000001</v>
      </c>
      <c r="AC1569" s="54">
        <v>10.061766666666665</v>
      </c>
      <c r="AD1569" s="36">
        <v>148.03050000000002</v>
      </c>
    </row>
    <row r="1570" spans="1:30" s="37" customFormat="1" ht="15.75" customHeight="1" x14ac:dyDescent="0.2">
      <c r="A1570" s="26">
        <v>3096</v>
      </c>
      <c r="B1570" s="27" t="s">
        <v>2653</v>
      </c>
      <c r="C1570" s="27" t="s">
        <v>38</v>
      </c>
      <c r="D1570" s="28">
        <v>0.08</v>
      </c>
      <c r="E1570" s="29">
        <v>40.98</v>
      </c>
      <c r="F1570" s="29">
        <v>7.2</v>
      </c>
      <c r="G1570" s="30" t="s">
        <v>87</v>
      </c>
      <c r="H1570" s="27" t="s">
        <v>40</v>
      </c>
      <c r="I1570" s="27" t="s">
        <v>49</v>
      </c>
      <c r="J1570" s="27" t="s">
        <v>95</v>
      </c>
      <c r="K1570" s="27" t="s">
        <v>73</v>
      </c>
      <c r="L1570" s="31" t="s">
        <v>2654</v>
      </c>
      <c r="M1570" s="32">
        <v>0.6</v>
      </c>
      <c r="N1570" s="27" t="s">
        <v>33</v>
      </c>
      <c r="O1570" s="27" t="s">
        <v>111</v>
      </c>
      <c r="P1570" s="27" t="s">
        <v>317</v>
      </c>
      <c r="Q1570" s="27" t="s">
        <v>2440</v>
      </c>
      <c r="R1570" s="33">
        <v>43026</v>
      </c>
      <c r="S1570" s="34">
        <v>42148</v>
      </c>
      <c r="T1570" s="34">
        <v>42149</v>
      </c>
      <c r="U1570" s="29">
        <v>-16.64</v>
      </c>
      <c r="V1570" s="26">
        <v>3</v>
      </c>
      <c r="W1570" s="29">
        <v>119.86</v>
      </c>
      <c r="X1570" s="26">
        <v>86221</v>
      </c>
      <c r="Y1570" s="35">
        <v>6.4600000000000009</v>
      </c>
      <c r="Z1570" s="1" t="s">
        <v>3014</v>
      </c>
      <c r="AA1570" s="36">
        <v>9.8352000000000004</v>
      </c>
      <c r="AB1570" s="54">
        <v>47.944000000000003</v>
      </c>
      <c r="AC1570" s="54">
        <v>23.971999999999998</v>
      </c>
      <c r="AD1570" s="36">
        <v>119.4648</v>
      </c>
    </row>
    <row r="1571" spans="1:30" s="37" customFormat="1" ht="15.75" customHeight="1" x14ac:dyDescent="0.2">
      <c r="A1571" s="26">
        <v>3096</v>
      </c>
      <c r="B1571" s="27" t="s">
        <v>2653</v>
      </c>
      <c r="C1571" s="27" t="s">
        <v>38</v>
      </c>
      <c r="D1571" s="28">
        <v>0.08</v>
      </c>
      <c r="E1571" s="29">
        <v>8.1199999999999992</v>
      </c>
      <c r="F1571" s="29">
        <v>2.83</v>
      </c>
      <c r="G1571" s="30" t="s">
        <v>87</v>
      </c>
      <c r="H1571" s="27" t="s">
        <v>40</v>
      </c>
      <c r="I1571" s="27" t="s">
        <v>41</v>
      </c>
      <c r="J1571" s="27" t="s">
        <v>42</v>
      </c>
      <c r="K1571" s="27" t="s">
        <v>43</v>
      </c>
      <c r="L1571" s="31" t="s">
        <v>1698</v>
      </c>
      <c r="M1571" s="32">
        <v>0.77</v>
      </c>
      <c r="N1571" s="27" t="s">
        <v>33</v>
      </c>
      <c r="O1571" s="27" t="s">
        <v>111</v>
      </c>
      <c r="P1571" s="27" t="s">
        <v>317</v>
      </c>
      <c r="Q1571" s="27" t="s">
        <v>2440</v>
      </c>
      <c r="R1571" s="33">
        <v>43026</v>
      </c>
      <c r="S1571" s="34">
        <v>42148</v>
      </c>
      <c r="T1571" s="34">
        <v>42149</v>
      </c>
      <c r="U1571" s="29">
        <v>-59.73</v>
      </c>
      <c r="V1571" s="26">
        <v>12</v>
      </c>
      <c r="W1571" s="29">
        <v>98.77</v>
      </c>
      <c r="X1571" s="26">
        <v>86221</v>
      </c>
      <c r="Y1571" s="35">
        <v>217.98000000000002</v>
      </c>
      <c r="Z1571" s="1" t="s">
        <v>3014</v>
      </c>
      <c r="AA1571" s="36">
        <v>7.7951999999999995</v>
      </c>
      <c r="AB1571" s="54">
        <v>22.717099999999999</v>
      </c>
      <c r="AC1571" s="54">
        <v>6.3377416666666662</v>
      </c>
      <c r="AD1571" s="36">
        <v>147.87479999999999</v>
      </c>
    </row>
    <row r="1572" spans="1:30" s="37" customFormat="1" ht="15.75" customHeight="1" x14ac:dyDescent="0.2">
      <c r="A1572" s="26">
        <v>3366</v>
      </c>
      <c r="B1572" s="27" t="s">
        <v>2656</v>
      </c>
      <c r="C1572" s="27" t="s">
        <v>48</v>
      </c>
      <c r="D1572" s="28">
        <v>0.02</v>
      </c>
      <c r="E1572" s="29">
        <v>6.48</v>
      </c>
      <c r="F1572" s="29">
        <v>5.1100000000000003</v>
      </c>
      <c r="G1572" s="30" t="s">
        <v>39</v>
      </c>
      <c r="H1572" s="27" t="s">
        <v>71</v>
      </c>
      <c r="I1572" s="27" t="s">
        <v>49</v>
      </c>
      <c r="J1572" s="27" t="s">
        <v>88</v>
      </c>
      <c r="K1572" s="27" t="s">
        <v>73</v>
      </c>
      <c r="L1572" s="31" t="s">
        <v>2592</v>
      </c>
      <c r="M1572" s="32">
        <v>0.37</v>
      </c>
      <c r="N1572" s="27" t="s">
        <v>33</v>
      </c>
      <c r="O1572" s="27" t="s">
        <v>111</v>
      </c>
      <c r="P1572" s="27" t="s">
        <v>317</v>
      </c>
      <c r="Q1572" s="27" t="s">
        <v>581</v>
      </c>
      <c r="R1572" s="33">
        <v>45373</v>
      </c>
      <c r="S1572" s="34">
        <v>42148</v>
      </c>
      <c r="T1572" s="34">
        <v>42152</v>
      </c>
      <c r="U1572" s="29">
        <v>-23.53</v>
      </c>
      <c r="V1572" s="26">
        <v>8</v>
      </c>
      <c r="W1572" s="29">
        <v>56.22</v>
      </c>
      <c r="X1572" s="26">
        <v>90501</v>
      </c>
      <c r="Y1572" s="35">
        <v>150.92999999999998</v>
      </c>
      <c r="Z1572" s="1" t="s">
        <v>3014</v>
      </c>
      <c r="AA1572" s="36">
        <v>1.0368000000000002</v>
      </c>
      <c r="AB1572" s="54">
        <v>35.418599999999998</v>
      </c>
      <c r="AC1572" s="54">
        <v>2.6001750000000001</v>
      </c>
      <c r="AD1572" s="36">
        <v>73.603200000000001</v>
      </c>
    </row>
    <row r="1573" spans="1:30" s="37" customFormat="1" ht="15.75" customHeight="1" x14ac:dyDescent="0.2">
      <c r="A1573" s="26">
        <v>1623</v>
      </c>
      <c r="B1573" s="27" t="s">
        <v>2650</v>
      </c>
      <c r="C1573" s="27" t="s">
        <v>38</v>
      </c>
      <c r="D1573" s="28">
        <v>0.05</v>
      </c>
      <c r="E1573" s="29">
        <v>12.28</v>
      </c>
      <c r="F1573" s="29">
        <v>6.13</v>
      </c>
      <c r="G1573" s="30" t="s">
        <v>39</v>
      </c>
      <c r="H1573" s="27" t="s">
        <v>3095</v>
      </c>
      <c r="I1573" s="27" t="s">
        <v>49</v>
      </c>
      <c r="J1573" s="27" t="s">
        <v>78</v>
      </c>
      <c r="K1573" s="27" t="s">
        <v>73</v>
      </c>
      <c r="L1573" s="31" t="s">
        <v>2386</v>
      </c>
      <c r="M1573" s="32">
        <v>0.56999999999999995</v>
      </c>
      <c r="N1573" s="27" t="s">
        <v>33</v>
      </c>
      <c r="O1573" s="27" t="s">
        <v>53</v>
      </c>
      <c r="P1573" s="27" t="s">
        <v>54</v>
      </c>
      <c r="Q1573" s="27" t="s">
        <v>2652</v>
      </c>
      <c r="R1573" s="33">
        <v>46375</v>
      </c>
      <c r="S1573" s="34">
        <v>42148</v>
      </c>
      <c r="T1573" s="34">
        <v>42149</v>
      </c>
      <c r="U1573" s="29">
        <v>1.3360000000000001</v>
      </c>
      <c r="V1573" s="26">
        <v>1</v>
      </c>
      <c r="W1573" s="29">
        <v>18.73</v>
      </c>
      <c r="X1573" s="26">
        <v>87611</v>
      </c>
      <c r="Y1573" s="35">
        <v>20.959999999999997</v>
      </c>
      <c r="Z1573" s="1" t="s">
        <v>3012</v>
      </c>
      <c r="AA1573" s="36">
        <v>0.61399999999999999</v>
      </c>
      <c r="AB1573" s="54">
        <v>8.0539000000000005</v>
      </c>
      <c r="AC1573" s="54">
        <v>10.6761</v>
      </c>
      <c r="AD1573" s="36">
        <v>10.65</v>
      </c>
    </row>
    <row r="1574" spans="1:30" s="37" customFormat="1" ht="15.75" customHeight="1" x14ac:dyDescent="0.2">
      <c r="A1574" s="26">
        <v>1237</v>
      </c>
      <c r="B1574" s="27" t="s">
        <v>1916</v>
      </c>
      <c r="C1574" s="27" t="s">
        <v>116</v>
      </c>
      <c r="D1574" s="28">
        <v>0.05</v>
      </c>
      <c r="E1574" s="29">
        <v>300.98</v>
      </c>
      <c r="F1574" s="29">
        <v>13.99</v>
      </c>
      <c r="G1574" s="30" t="s">
        <v>39</v>
      </c>
      <c r="H1574" s="27" t="s">
        <v>94</v>
      </c>
      <c r="I1574" s="27" t="s">
        <v>41</v>
      </c>
      <c r="J1574" s="27" t="s">
        <v>57</v>
      </c>
      <c r="K1574" s="27" t="s">
        <v>144</v>
      </c>
      <c r="L1574" s="31" t="s">
        <v>2667</v>
      </c>
      <c r="M1574" s="32">
        <v>0.39</v>
      </c>
      <c r="N1574" s="27" t="s">
        <v>33</v>
      </c>
      <c r="O1574" s="27" t="s">
        <v>53</v>
      </c>
      <c r="P1574" s="27" t="s">
        <v>187</v>
      </c>
      <c r="Q1574" s="27" t="s">
        <v>1918</v>
      </c>
      <c r="R1574" s="33">
        <v>75007</v>
      </c>
      <c r="S1574" s="34">
        <v>42149</v>
      </c>
      <c r="T1574" s="34">
        <v>42150</v>
      </c>
      <c r="U1574" s="29">
        <v>3985.3089</v>
      </c>
      <c r="V1574" s="26">
        <v>20</v>
      </c>
      <c r="W1574" s="29">
        <v>5775.81</v>
      </c>
      <c r="X1574" s="26">
        <v>86077</v>
      </c>
      <c r="Y1574" s="35">
        <v>7.59</v>
      </c>
      <c r="Z1574" s="1" t="s">
        <v>3012</v>
      </c>
      <c r="AA1574" s="36">
        <v>300.98</v>
      </c>
      <c r="AB1574" s="54">
        <v>3523.2441000000003</v>
      </c>
      <c r="AC1574" s="54">
        <v>112.62829500000001</v>
      </c>
      <c r="AD1574" s="36">
        <v>1475.5311000000011</v>
      </c>
    </row>
    <row r="1575" spans="1:30" s="37" customFormat="1" ht="15.75" customHeight="1" x14ac:dyDescent="0.2">
      <c r="A1575" s="26">
        <v>744</v>
      </c>
      <c r="B1575" s="27" t="s">
        <v>586</v>
      </c>
      <c r="C1575" s="27" t="s">
        <v>48</v>
      </c>
      <c r="D1575" s="28">
        <v>0.09</v>
      </c>
      <c r="E1575" s="29">
        <v>125.99</v>
      </c>
      <c r="F1575" s="29">
        <v>8.99</v>
      </c>
      <c r="G1575" s="30" t="s">
        <v>39</v>
      </c>
      <c r="H1575" s="27" t="s">
        <v>40</v>
      </c>
      <c r="I1575" s="27" t="s">
        <v>41</v>
      </c>
      <c r="J1575" s="27" t="s">
        <v>135</v>
      </c>
      <c r="K1575" s="27" t="s">
        <v>73</v>
      </c>
      <c r="L1575" s="31" t="s">
        <v>1654</v>
      </c>
      <c r="M1575" s="32">
        <v>0.55000000000000004</v>
      </c>
      <c r="N1575" s="27" t="s">
        <v>33</v>
      </c>
      <c r="O1575" s="27" t="s">
        <v>60</v>
      </c>
      <c r="P1575" s="27" t="s">
        <v>588</v>
      </c>
      <c r="Q1575" s="27" t="s">
        <v>589</v>
      </c>
      <c r="R1575" s="33">
        <v>85737</v>
      </c>
      <c r="S1575" s="34">
        <v>42149</v>
      </c>
      <c r="T1575" s="34">
        <v>42157</v>
      </c>
      <c r="U1575" s="29">
        <v>916.68060000000003</v>
      </c>
      <c r="V1575" s="26">
        <v>20</v>
      </c>
      <c r="W1575" s="29">
        <v>2104.9899999999998</v>
      </c>
      <c r="X1575" s="26">
        <v>87727</v>
      </c>
      <c r="Y1575" s="35">
        <v>17.89</v>
      </c>
      <c r="Z1575" s="1" t="s">
        <v>3013</v>
      </c>
      <c r="AA1575" s="36">
        <v>226.78199999999998</v>
      </c>
      <c r="AB1575" s="54">
        <v>947.24549999999977</v>
      </c>
      <c r="AC1575" s="54">
        <v>57.887224999999994</v>
      </c>
      <c r="AD1575" s="36">
        <v>952.53739999999971</v>
      </c>
    </row>
    <row r="1576" spans="1:30" s="37" customFormat="1" ht="15.75" customHeight="1" x14ac:dyDescent="0.2">
      <c r="A1576" s="26">
        <v>1237</v>
      </c>
      <c r="B1576" s="27" t="s">
        <v>1916</v>
      </c>
      <c r="C1576" s="27" t="s">
        <v>116</v>
      </c>
      <c r="D1576" s="28">
        <v>0.04</v>
      </c>
      <c r="E1576" s="29">
        <v>205.99</v>
      </c>
      <c r="F1576" s="29">
        <v>5</v>
      </c>
      <c r="G1576" s="30" t="s">
        <v>87</v>
      </c>
      <c r="H1576" s="27" t="s">
        <v>94</v>
      </c>
      <c r="I1576" s="27" t="s">
        <v>41</v>
      </c>
      <c r="J1576" s="27" t="s">
        <v>135</v>
      </c>
      <c r="K1576" s="27" t="s">
        <v>73</v>
      </c>
      <c r="L1576" s="31" t="s">
        <v>2668</v>
      </c>
      <c r="M1576" s="32">
        <v>0.59</v>
      </c>
      <c r="N1576" s="27" t="s">
        <v>33</v>
      </c>
      <c r="O1576" s="27" t="s">
        <v>53</v>
      </c>
      <c r="P1576" s="27" t="s">
        <v>187</v>
      </c>
      <c r="Q1576" s="27" t="s">
        <v>1918</v>
      </c>
      <c r="R1576" s="33">
        <v>75007</v>
      </c>
      <c r="S1576" s="34">
        <v>42149</v>
      </c>
      <c r="T1576" s="34">
        <v>42150</v>
      </c>
      <c r="U1576" s="29">
        <v>13.956799999999999</v>
      </c>
      <c r="V1576" s="26">
        <v>11</v>
      </c>
      <c r="W1576" s="29">
        <v>1878.24</v>
      </c>
      <c r="X1576" s="26">
        <v>86077</v>
      </c>
      <c r="Y1576" s="35">
        <v>3.14</v>
      </c>
      <c r="Z1576" s="1" t="s">
        <v>3012</v>
      </c>
      <c r="AA1576" s="36">
        <v>90.635600000000011</v>
      </c>
      <c r="AB1576" s="54">
        <v>770.0784000000001</v>
      </c>
      <c r="AC1576" s="54">
        <v>100.74196363636364</v>
      </c>
      <c r="AD1576" s="36">
        <v>1768.6476</v>
      </c>
    </row>
    <row r="1577" spans="1:30" s="37" customFormat="1" ht="15.75" customHeight="1" x14ac:dyDescent="0.2">
      <c r="A1577" s="26">
        <v>1472</v>
      </c>
      <c r="B1577" s="27" t="s">
        <v>2669</v>
      </c>
      <c r="C1577" s="27" t="s">
        <v>116</v>
      </c>
      <c r="D1577" s="28">
        <v>0.05</v>
      </c>
      <c r="E1577" s="29">
        <v>20.27</v>
      </c>
      <c r="F1577" s="29">
        <v>3.99</v>
      </c>
      <c r="G1577" s="30" t="s">
        <v>39</v>
      </c>
      <c r="H1577" s="27" t="s">
        <v>71</v>
      </c>
      <c r="I1577" s="27" t="s">
        <v>49</v>
      </c>
      <c r="J1577" s="27" t="s">
        <v>95</v>
      </c>
      <c r="K1577" s="27" t="s">
        <v>73</v>
      </c>
      <c r="L1577" s="31" t="s">
        <v>1800</v>
      </c>
      <c r="M1577" s="32">
        <v>0.56999999999999995</v>
      </c>
      <c r="N1577" s="27" t="s">
        <v>33</v>
      </c>
      <c r="O1577" s="27" t="s">
        <v>111</v>
      </c>
      <c r="P1577" s="27" t="s">
        <v>317</v>
      </c>
      <c r="Q1577" s="27" t="s">
        <v>2670</v>
      </c>
      <c r="R1577" s="33">
        <v>44145</v>
      </c>
      <c r="S1577" s="34">
        <v>42149</v>
      </c>
      <c r="T1577" s="34">
        <v>42150</v>
      </c>
      <c r="U1577" s="29">
        <v>309.25400000000002</v>
      </c>
      <c r="V1577" s="26">
        <v>30</v>
      </c>
      <c r="W1577" s="29">
        <v>621.55999999999995</v>
      </c>
      <c r="X1577" s="26">
        <v>87079</v>
      </c>
      <c r="Y1577" s="35">
        <v>125.89999999999999</v>
      </c>
      <c r="Z1577" s="1" t="s">
        <v>3014</v>
      </c>
      <c r="AA1577" s="36">
        <v>30.405000000000001</v>
      </c>
      <c r="AB1577" s="54">
        <v>267.27080000000001</v>
      </c>
      <c r="AC1577" s="54">
        <v>11.809639999999998</v>
      </c>
      <c r="AD1577" s="36">
        <v>277.91099999999994</v>
      </c>
    </row>
    <row r="1578" spans="1:30" s="37" customFormat="1" ht="15.75" customHeight="1" x14ac:dyDescent="0.2">
      <c r="A1578" s="26">
        <v>3287</v>
      </c>
      <c r="B1578" s="27" t="s">
        <v>2664</v>
      </c>
      <c r="C1578" s="27" t="s">
        <v>48</v>
      </c>
      <c r="D1578" s="28">
        <v>0.08</v>
      </c>
      <c r="E1578" s="29">
        <v>30.56</v>
      </c>
      <c r="F1578" s="29">
        <v>2.99</v>
      </c>
      <c r="G1578" s="30" t="s">
        <v>39</v>
      </c>
      <c r="H1578" s="27" t="s">
        <v>3095</v>
      </c>
      <c r="I1578" s="27" t="s">
        <v>49</v>
      </c>
      <c r="J1578" s="27" t="s">
        <v>72</v>
      </c>
      <c r="K1578" s="27" t="s">
        <v>73</v>
      </c>
      <c r="L1578" s="31" t="s">
        <v>1053</v>
      </c>
      <c r="M1578" s="32">
        <v>0.35</v>
      </c>
      <c r="N1578" s="27" t="s">
        <v>33</v>
      </c>
      <c r="O1578" s="27" t="s">
        <v>60</v>
      </c>
      <c r="P1578" s="27" t="s">
        <v>90</v>
      </c>
      <c r="Q1578" s="27" t="s">
        <v>2665</v>
      </c>
      <c r="R1578" s="33">
        <v>95746</v>
      </c>
      <c r="S1578" s="34">
        <v>42149</v>
      </c>
      <c r="T1578" s="34">
        <v>42151</v>
      </c>
      <c r="U1578" s="29">
        <v>352.87979999999999</v>
      </c>
      <c r="V1578" s="26">
        <v>17</v>
      </c>
      <c r="W1578" s="29">
        <v>511.42</v>
      </c>
      <c r="X1578" s="26">
        <v>89897</v>
      </c>
      <c r="Y1578" s="35">
        <v>30.48</v>
      </c>
      <c r="Z1578" s="1" t="s">
        <v>3013</v>
      </c>
      <c r="AA1578" s="36">
        <v>41.561599999999999</v>
      </c>
      <c r="AB1578" s="54">
        <v>332.423</v>
      </c>
      <c r="AC1578" s="54">
        <v>10.529235294117647</v>
      </c>
      <c r="AD1578" s="36">
        <v>113.98860000000002</v>
      </c>
    </row>
    <row r="1579" spans="1:30" s="37" customFormat="1" ht="15.75" customHeight="1" x14ac:dyDescent="0.2">
      <c r="A1579" s="26">
        <v>444</v>
      </c>
      <c r="B1579" s="27" t="s">
        <v>2660</v>
      </c>
      <c r="C1579" s="27" t="s">
        <v>26</v>
      </c>
      <c r="D1579" s="28">
        <v>0</v>
      </c>
      <c r="E1579" s="29">
        <v>7.59</v>
      </c>
      <c r="F1579" s="29">
        <v>4</v>
      </c>
      <c r="G1579" s="30" t="s">
        <v>39</v>
      </c>
      <c r="H1579" s="27" t="s">
        <v>3095</v>
      </c>
      <c r="I1579" s="27" t="s">
        <v>29</v>
      </c>
      <c r="J1579" s="27" t="s">
        <v>126</v>
      </c>
      <c r="K1579" s="27" t="s">
        <v>51</v>
      </c>
      <c r="L1579" s="31" t="s">
        <v>1687</v>
      </c>
      <c r="M1579" s="32">
        <v>0.42</v>
      </c>
      <c r="N1579" s="27" t="s">
        <v>33</v>
      </c>
      <c r="O1579" s="27" t="s">
        <v>53</v>
      </c>
      <c r="P1579" s="27" t="s">
        <v>103</v>
      </c>
      <c r="Q1579" s="27" t="s">
        <v>2507</v>
      </c>
      <c r="R1579" s="33">
        <v>61801</v>
      </c>
      <c r="S1579" s="34">
        <v>42149</v>
      </c>
      <c r="T1579" s="34">
        <v>42152</v>
      </c>
      <c r="U1579" s="29">
        <v>86.438000000000002</v>
      </c>
      <c r="V1579" s="26">
        <v>43</v>
      </c>
      <c r="W1579" s="29">
        <v>355.92</v>
      </c>
      <c r="X1579" s="26">
        <v>88085</v>
      </c>
      <c r="Y1579" s="35">
        <v>6.9700000000000006</v>
      </c>
      <c r="Z1579" s="1" t="s">
        <v>3012</v>
      </c>
      <c r="AA1579" s="36">
        <v>0</v>
      </c>
      <c r="AB1579" s="54">
        <v>206.43360000000004</v>
      </c>
      <c r="AC1579" s="54">
        <v>3.4764279069767445</v>
      </c>
      <c r="AD1579" s="36">
        <v>265.48200000000003</v>
      </c>
    </row>
    <row r="1580" spans="1:30" s="37" customFormat="1" ht="15.75" customHeight="1" x14ac:dyDescent="0.2">
      <c r="A1580" s="26">
        <v>2391</v>
      </c>
      <c r="B1580" s="27" t="s">
        <v>2678</v>
      </c>
      <c r="C1580" s="27" t="s">
        <v>3094</v>
      </c>
      <c r="D1580" s="28">
        <v>0.1</v>
      </c>
      <c r="E1580" s="29">
        <v>27.18</v>
      </c>
      <c r="F1580" s="29">
        <v>8.23</v>
      </c>
      <c r="G1580" s="30" t="s">
        <v>39</v>
      </c>
      <c r="H1580" s="27" t="s">
        <v>94</v>
      </c>
      <c r="I1580" s="27" t="s">
        <v>49</v>
      </c>
      <c r="J1580" s="27" t="s">
        <v>345</v>
      </c>
      <c r="K1580" s="27" t="s">
        <v>73</v>
      </c>
      <c r="L1580" s="31" t="s">
        <v>2681</v>
      </c>
      <c r="M1580" s="32">
        <v>0.38</v>
      </c>
      <c r="N1580" s="27" t="s">
        <v>33</v>
      </c>
      <c r="O1580" s="27" t="s">
        <v>111</v>
      </c>
      <c r="P1580" s="27" t="s">
        <v>112</v>
      </c>
      <c r="Q1580" s="27" t="s">
        <v>2680</v>
      </c>
      <c r="R1580" s="33">
        <v>11572</v>
      </c>
      <c r="S1580" s="34">
        <v>42149</v>
      </c>
      <c r="T1580" s="34">
        <v>42151</v>
      </c>
      <c r="U1580" s="29">
        <v>204.49</v>
      </c>
      <c r="V1580" s="26">
        <v>12</v>
      </c>
      <c r="W1580" s="29">
        <v>314.06</v>
      </c>
      <c r="X1580" s="26">
        <v>91122</v>
      </c>
      <c r="Y1580" s="35">
        <v>300.93</v>
      </c>
      <c r="Z1580" s="1" t="s">
        <v>3014</v>
      </c>
      <c r="AA1580" s="36">
        <v>32.616</v>
      </c>
      <c r="AB1580" s="54">
        <v>194.71719999999999</v>
      </c>
      <c r="AC1580" s="54">
        <v>9.9452333333333343</v>
      </c>
      <c r="AD1580" s="36">
        <v>68.72399999999999</v>
      </c>
    </row>
    <row r="1581" spans="1:30" s="37" customFormat="1" ht="15.75" customHeight="1" x14ac:dyDescent="0.2">
      <c r="A1581" s="26">
        <v>129</v>
      </c>
      <c r="B1581" s="27" t="s">
        <v>831</v>
      </c>
      <c r="C1581" s="27" t="s">
        <v>3094</v>
      </c>
      <c r="D1581" s="28">
        <v>7.0000000000000007E-2</v>
      </c>
      <c r="E1581" s="29">
        <v>15.74</v>
      </c>
      <c r="F1581" s="29">
        <v>1.39</v>
      </c>
      <c r="G1581" s="30" t="s">
        <v>39</v>
      </c>
      <c r="H1581" s="27" t="s">
        <v>3095</v>
      </c>
      <c r="I1581" s="27" t="s">
        <v>49</v>
      </c>
      <c r="J1581" s="27" t="s">
        <v>345</v>
      </c>
      <c r="K1581" s="27" t="s">
        <v>73</v>
      </c>
      <c r="L1581" s="31" t="s">
        <v>2674</v>
      </c>
      <c r="M1581" s="32">
        <v>0.4</v>
      </c>
      <c r="N1581" s="27" t="s">
        <v>33</v>
      </c>
      <c r="O1581" s="27" t="s">
        <v>53</v>
      </c>
      <c r="P1581" s="27" t="s">
        <v>103</v>
      </c>
      <c r="Q1581" s="27" t="s">
        <v>832</v>
      </c>
      <c r="R1581" s="33">
        <v>62002</v>
      </c>
      <c r="S1581" s="34">
        <v>42149</v>
      </c>
      <c r="T1581" s="34">
        <v>42150</v>
      </c>
      <c r="U1581" s="29">
        <v>149.8887</v>
      </c>
      <c r="V1581" s="26">
        <v>14</v>
      </c>
      <c r="W1581" s="29">
        <v>217.23</v>
      </c>
      <c r="X1581" s="26">
        <v>86694</v>
      </c>
      <c r="Y1581" s="35">
        <v>205.95000000000002</v>
      </c>
      <c r="Z1581" s="1" t="s">
        <v>3012</v>
      </c>
      <c r="AA1581" s="36">
        <v>15.425200000000002</v>
      </c>
      <c r="AB1581" s="54">
        <v>130.33799999999999</v>
      </c>
      <c r="AC1581" s="54">
        <v>6.2065714285714293</v>
      </c>
      <c r="AD1581" s="36">
        <v>50.526100000000014</v>
      </c>
    </row>
    <row r="1582" spans="1:30" s="37" customFormat="1" ht="15.75" customHeight="1" x14ac:dyDescent="0.2">
      <c r="A1582" s="26">
        <v>526</v>
      </c>
      <c r="B1582" s="27" t="s">
        <v>612</v>
      </c>
      <c r="C1582" s="27" t="s">
        <v>38</v>
      </c>
      <c r="D1582" s="28">
        <v>0.09</v>
      </c>
      <c r="E1582" s="29">
        <v>17.98</v>
      </c>
      <c r="F1582" s="29">
        <v>8.51</v>
      </c>
      <c r="G1582" s="30" t="s">
        <v>39</v>
      </c>
      <c r="H1582" s="27" t="s">
        <v>71</v>
      </c>
      <c r="I1582" s="27" t="s">
        <v>41</v>
      </c>
      <c r="J1582" s="27" t="s">
        <v>57</v>
      </c>
      <c r="K1582" s="27" t="s">
        <v>144</v>
      </c>
      <c r="L1582" s="31" t="s">
        <v>1880</v>
      </c>
      <c r="M1582" s="32">
        <v>0.4</v>
      </c>
      <c r="N1582" s="27" t="s">
        <v>33</v>
      </c>
      <c r="O1582" s="27" t="s">
        <v>60</v>
      </c>
      <c r="P1582" s="27" t="s">
        <v>588</v>
      </c>
      <c r="Q1582" s="27" t="s">
        <v>614</v>
      </c>
      <c r="R1582" s="33">
        <v>85204</v>
      </c>
      <c r="S1582" s="34">
        <v>42149</v>
      </c>
      <c r="T1582" s="34">
        <v>42151</v>
      </c>
      <c r="U1582" s="29">
        <v>-6.6120000000000001</v>
      </c>
      <c r="V1582" s="26">
        <v>12</v>
      </c>
      <c r="W1582" s="29">
        <v>211.13</v>
      </c>
      <c r="X1582" s="26">
        <v>90026</v>
      </c>
      <c r="Y1582" s="35">
        <v>20.22</v>
      </c>
      <c r="Z1582" s="1" t="s">
        <v>3013</v>
      </c>
      <c r="AA1582" s="36">
        <v>19.418400000000002</v>
      </c>
      <c r="AB1582" s="54">
        <v>126.678</v>
      </c>
      <c r="AC1582" s="54">
        <v>7.0376666666666665</v>
      </c>
      <c r="AD1582" s="36">
        <v>189.81360000000001</v>
      </c>
    </row>
    <row r="1583" spans="1:30" s="37" customFormat="1" ht="15.75" customHeight="1" x14ac:dyDescent="0.2">
      <c r="A1583" s="26">
        <v>1054</v>
      </c>
      <c r="B1583" s="27" t="s">
        <v>2675</v>
      </c>
      <c r="C1583" s="27" t="s">
        <v>3094</v>
      </c>
      <c r="D1583" s="28">
        <v>0.08</v>
      </c>
      <c r="E1583" s="29">
        <v>26.38</v>
      </c>
      <c r="F1583" s="29">
        <v>5.58</v>
      </c>
      <c r="G1583" s="30" t="s">
        <v>39</v>
      </c>
      <c r="H1583" s="27" t="s">
        <v>94</v>
      </c>
      <c r="I1583" s="27" t="s">
        <v>49</v>
      </c>
      <c r="J1583" s="27" t="s">
        <v>88</v>
      </c>
      <c r="K1583" s="27" t="s">
        <v>73</v>
      </c>
      <c r="L1583" s="31" t="s">
        <v>2677</v>
      </c>
      <c r="M1583" s="32">
        <v>0.39</v>
      </c>
      <c r="N1583" s="27" t="s">
        <v>33</v>
      </c>
      <c r="O1583" s="27" t="s">
        <v>60</v>
      </c>
      <c r="P1583" s="27" t="s">
        <v>588</v>
      </c>
      <c r="Q1583" s="27" t="s">
        <v>2676</v>
      </c>
      <c r="R1583" s="33">
        <v>85374</v>
      </c>
      <c r="S1583" s="34">
        <v>42149</v>
      </c>
      <c r="T1583" s="34">
        <v>42150</v>
      </c>
      <c r="U1583" s="29">
        <v>144.7482</v>
      </c>
      <c r="V1583" s="26">
        <v>8</v>
      </c>
      <c r="W1583" s="29">
        <v>209.78</v>
      </c>
      <c r="X1583" s="26">
        <v>90069</v>
      </c>
      <c r="Y1583" s="35">
        <v>11.53</v>
      </c>
      <c r="Z1583" s="1" t="s">
        <v>3013</v>
      </c>
      <c r="AA1583" s="36">
        <v>16.883199999999999</v>
      </c>
      <c r="AB1583" s="54">
        <v>127.9658</v>
      </c>
      <c r="AC1583" s="54">
        <v>10.226775</v>
      </c>
      <c r="AD1583" s="36">
        <v>42.568600000000004</v>
      </c>
    </row>
    <row r="1584" spans="1:30" s="37" customFormat="1" ht="15.75" customHeight="1" x14ac:dyDescent="0.2">
      <c r="A1584" s="26">
        <v>2652</v>
      </c>
      <c r="B1584" s="27" t="s">
        <v>2673</v>
      </c>
      <c r="C1584" s="27" t="s">
        <v>116</v>
      </c>
      <c r="D1584" s="28">
        <v>0.06</v>
      </c>
      <c r="E1584" s="29">
        <v>47.9</v>
      </c>
      <c r="F1584" s="29">
        <v>5.86</v>
      </c>
      <c r="G1584" s="30" t="s">
        <v>39</v>
      </c>
      <c r="H1584" s="27" t="s">
        <v>40</v>
      </c>
      <c r="I1584" s="27" t="s">
        <v>49</v>
      </c>
      <c r="J1584" s="27" t="s">
        <v>88</v>
      </c>
      <c r="K1584" s="27" t="s">
        <v>73</v>
      </c>
      <c r="L1584" s="31" t="s">
        <v>1309</v>
      </c>
      <c r="M1584" s="32">
        <v>0.37</v>
      </c>
      <c r="N1584" s="27" t="s">
        <v>33</v>
      </c>
      <c r="O1584" s="27" t="s">
        <v>60</v>
      </c>
      <c r="P1584" s="27" t="s">
        <v>90</v>
      </c>
      <c r="Q1584" s="27" t="s">
        <v>1694</v>
      </c>
      <c r="R1584" s="33">
        <v>93309</v>
      </c>
      <c r="S1584" s="34">
        <v>42149</v>
      </c>
      <c r="T1584" s="34">
        <v>42151</v>
      </c>
      <c r="U1584" s="29">
        <v>21.78</v>
      </c>
      <c r="V1584" s="26">
        <v>2</v>
      </c>
      <c r="W1584" s="29">
        <v>94.2</v>
      </c>
      <c r="X1584" s="26">
        <v>89361</v>
      </c>
      <c r="Y1584" s="35">
        <v>47.839999999999996</v>
      </c>
      <c r="Z1584" s="1" t="s">
        <v>3013</v>
      </c>
      <c r="AA1584" s="36">
        <v>5.7479999999999993</v>
      </c>
      <c r="AB1584" s="54">
        <v>59.346000000000004</v>
      </c>
      <c r="AC1584" s="54">
        <v>17.427</v>
      </c>
      <c r="AD1584" s="36">
        <v>60.812000000000005</v>
      </c>
    </row>
    <row r="1585" spans="1:30" s="37" customFormat="1" ht="15.75" customHeight="1" x14ac:dyDescent="0.2">
      <c r="A1585" s="26">
        <v>2339</v>
      </c>
      <c r="B1585" s="27" t="s">
        <v>2671</v>
      </c>
      <c r="C1585" s="27" t="s">
        <v>116</v>
      </c>
      <c r="D1585" s="28">
        <v>0.05</v>
      </c>
      <c r="E1585" s="29">
        <v>11.58</v>
      </c>
      <c r="F1585" s="29">
        <v>6.97</v>
      </c>
      <c r="G1585" s="30" t="s">
        <v>39</v>
      </c>
      <c r="H1585" s="27" t="s">
        <v>71</v>
      </c>
      <c r="I1585" s="27" t="s">
        <v>49</v>
      </c>
      <c r="J1585" s="27" t="s">
        <v>345</v>
      </c>
      <c r="K1585" s="27" t="s">
        <v>73</v>
      </c>
      <c r="L1585" s="31" t="s">
        <v>624</v>
      </c>
      <c r="M1585" s="32">
        <v>0.35</v>
      </c>
      <c r="N1585" s="27" t="s">
        <v>33</v>
      </c>
      <c r="O1585" s="27" t="s">
        <v>53</v>
      </c>
      <c r="P1585" s="27" t="s">
        <v>187</v>
      </c>
      <c r="Q1585" s="27" t="s">
        <v>2672</v>
      </c>
      <c r="R1585" s="33">
        <v>77015</v>
      </c>
      <c r="S1585" s="34">
        <v>42149</v>
      </c>
      <c r="T1585" s="34">
        <v>42152</v>
      </c>
      <c r="U1585" s="29">
        <v>2.806</v>
      </c>
      <c r="V1585" s="26">
        <v>6</v>
      </c>
      <c r="W1585" s="29">
        <v>73.959999999999994</v>
      </c>
      <c r="X1585" s="26">
        <v>91482</v>
      </c>
      <c r="Y1585" s="35">
        <v>15.67</v>
      </c>
      <c r="Z1585" s="1" t="s">
        <v>3012</v>
      </c>
      <c r="AA1585" s="36">
        <v>3.4740000000000002</v>
      </c>
      <c r="AB1585" s="54">
        <v>48.073999999999998</v>
      </c>
      <c r="AC1585" s="54">
        <v>4.3143333333333329</v>
      </c>
      <c r="AD1585" s="36">
        <v>60.709999999999994</v>
      </c>
    </row>
    <row r="1586" spans="1:30" s="37" customFormat="1" ht="15.75" customHeight="1" x14ac:dyDescent="0.2">
      <c r="A1586" s="26">
        <v>2868</v>
      </c>
      <c r="B1586" s="27" t="s">
        <v>322</v>
      </c>
      <c r="C1586" s="27" t="s">
        <v>3094</v>
      </c>
      <c r="D1586" s="28">
        <v>0.08</v>
      </c>
      <c r="E1586" s="29">
        <v>15.99</v>
      </c>
      <c r="F1586" s="29">
        <v>13.18</v>
      </c>
      <c r="G1586" s="30" t="s">
        <v>87</v>
      </c>
      <c r="H1586" s="27" t="s">
        <v>94</v>
      </c>
      <c r="I1586" s="27" t="s">
        <v>49</v>
      </c>
      <c r="J1586" s="27" t="s">
        <v>72</v>
      </c>
      <c r="K1586" s="27" t="s">
        <v>73</v>
      </c>
      <c r="L1586" s="31" t="s">
        <v>295</v>
      </c>
      <c r="M1586" s="32">
        <v>0.37</v>
      </c>
      <c r="N1586" s="27" t="s">
        <v>33</v>
      </c>
      <c r="O1586" s="27" t="s">
        <v>60</v>
      </c>
      <c r="P1586" s="27" t="s">
        <v>67</v>
      </c>
      <c r="Q1586" s="27" t="s">
        <v>324</v>
      </c>
      <c r="R1586" s="33">
        <v>98026</v>
      </c>
      <c r="S1586" s="34">
        <v>42149</v>
      </c>
      <c r="T1586" s="34">
        <v>42151</v>
      </c>
      <c r="U1586" s="29">
        <v>-66.584999999999994</v>
      </c>
      <c r="V1586" s="26">
        <v>4</v>
      </c>
      <c r="W1586" s="29">
        <v>66.02</v>
      </c>
      <c r="X1586" s="26">
        <v>85828</v>
      </c>
      <c r="Y1586" s="35">
        <v>5.41</v>
      </c>
      <c r="Z1586" s="1" t="s">
        <v>3013</v>
      </c>
      <c r="AA1586" s="36">
        <v>5.1168000000000005</v>
      </c>
      <c r="AB1586" s="54">
        <v>41.592599999999997</v>
      </c>
      <c r="AC1586" s="54">
        <v>6.1068499999999997</v>
      </c>
      <c r="AD1586" s="36">
        <v>114.3082</v>
      </c>
    </row>
    <row r="1587" spans="1:30" s="37" customFormat="1" ht="15.75" customHeight="1" x14ac:dyDescent="0.2">
      <c r="A1587" s="26">
        <v>2391</v>
      </c>
      <c r="B1587" s="27" t="s">
        <v>2678</v>
      </c>
      <c r="C1587" s="27" t="s">
        <v>3094</v>
      </c>
      <c r="D1587" s="28">
        <v>0.06</v>
      </c>
      <c r="E1587" s="29">
        <v>4.7699999999999996</v>
      </c>
      <c r="F1587" s="29">
        <v>2.39</v>
      </c>
      <c r="G1587" s="30" t="s">
        <v>39</v>
      </c>
      <c r="H1587" s="27" t="s">
        <v>94</v>
      </c>
      <c r="I1587" s="27" t="s">
        <v>41</v>
      </c>
      <c r="J1587" s="27" t="s">
        <v>42</v>
      </c>
      <c r="K1587" s="27" t="s">
        <v>43</v>
      </c>
      <c r="L1587" s="31" t="s">
        <v>2679</v>
      </c>
      <c r="M1587" s="32">
        <v>0.72</v>
      </c>
      <c r="N1587" s="27" t="s">
        <v>33</v>
      </c>
      <c r="O1587" s="27" t="s">
        <v>111</v>
      </c>
      <c r="P1587" s="27" t="s">
        <v>112</v>
      </c>
      <c r="Q1587" s="27" t="s">
        <v>2680</v>
      </c>
      <c r="R1587" s="33">
        <v>11572</v>
      </c>
      <c r="S1587" s="34">
        <v>42149</v>
      </c>
      <c r="T1587" s="34">
        <v>42150</v>
      </c>
      <c r="U1587" s="29">
        <v>-45.64</v>
      </c>
      <c r="V1587" s="26">
        <v>9</v>
      </c>
      <c r="W1587" s="29">
        <v>42.46</v>
      </c>
      <c r="X1587" s="26">
        <v>91122</v>
      </c>
      <c r="Y1587" s="35">
        <v>26.3</v>
      </c>
      <c r="Z1587" s="1" t="s">
        <v>3014</v>
      </c>
      <c r="AA1587" s="36">
        <v>2.5757999999999996</v>
      </c>
      <c r="AB1587" s="54">
        <v>11.888800000000002</v>
      </c>
      <c r="AC1587" s="54">
        <v>3.3968000000000003</v>
      </c>
      <c r="AD1587" s="36">
        <v>83.134199999999993</v>
      </c>
    </row>
    <row r="1588" spans="1:30" s="37" customFormat="1" ht="15.75" customHeight="1" x14ac:dyDescent="0.2">
      <c r="A1588" s="26">
        <v>1054</v>
      </c>
      <c r="B1588" s="27" t="s">
        <v>2675</v>
      </c>
      <c r="C1588" s="27" t="s">
        <v>3094</v>
      </c>
      <c r="D1588" s="28">
        <v>0.03</v>
      </c>
      <c r="E1588" s="29">
        <v>5.44</v>
      </c>
      <c r="F1588" s="29">
        <v>7.46</v>
      </c>
      <c r="G1588" s="30" t="s">
        <v>87</v>
      </c>
      <c r="H1588" s="27" t="s">
        <v>94</v>
      </c>
      <c r="I1588" s="27" t="s">
        <v>49</v>
      </c>
      <c r="J1588" s="27" t="s">
        <v>72</v>
      </c>
      <c r="K1588" s="27" t="s">
        <v>73</v>
      </c>
      <c r="L1588" s="31" t="s">
        <v>1242</v>
      </c>
      <c r="M1588" s="32">
        <v>0.36</v>
      </c>
      <c r="N1588" s="27" t="s">
        <v>33</v>
      </c>
      <c r="O1588" s="27" t="s">
        <v>60</v>
      </c>
      <c r="P1588" s="27" t="s">
        <v>588</v>
      </c>
      <c r="Q1588" s="27" t="s">
        <v>2676</v>
      </c>
      <c r="R1588" s="33">
        <v>85374</v>
      </c>
      <c r="S1588" s="34">
        <v>42149</v>
      </c>
      <c r="T1588" s="34">
        <v>42151</v>
      </c>
      <c r="U1588" s="29">
        <v>-51.704000000000001</v>
      </c>
      <c r="V1588" s="26">
        <v>4</v>
      </c>
      <c r="W1588" s="29">
        <v>26.31</v>
      </c>
      <c r="X1588" s="26">
        <v>90069</v>
      </c>
      <c r="Y1588" s="35">
        <v>20.93</v>
      </c>
      <c r="Z1588" s="1" t="s">
        <v>3013</v>
      </c>
      <c r="AA1588" s="36">
        <v>0.65280000000000005</v>
      </c>
      <c r="AB1588" s="54">
        <v>16.8384</v>
      </c>
      <c r="AC1588" s="54">
        <v>2.3678999999999997</v>
      </c>
      <c r="AD1588" s="36">
        <v>69.901200000000003</v>
      </c>
    </row>
    <row r="1589" spans="1:30" s="37" customFormat="1" ht="15.75" customHeight="1" x14ac:dyDescent="0.2">
      <c r="A1589" s="26">
        <v>1008</v>
      </c>
      <c r="B1589" s="27" t="s">
        <v>2661</v>
      </c>
      <c r="C1589" s="27" t="s">
        <v>38</v>
      </c>
      <c r="D1589" s="28">
        <v>0.01</v>
      </c>
      <c r="E1589" s="29">
        <v>3.15</v>
      </c>
      <c r="F1589" s="29">
        <v>0.49</v>
      </c>
      <c r="G1589" s="30" t="s">
        <v>39</v>
      </c>
      <c r="H1589" s="27" t="s">
        <v>71</v>
      </c>
      <c r="I1589" s="27" t="s">
        <v>49</v>
      </c>
      <c r="J1589" s="27" t="s">
        <v>152</v>
      </c>
      <c r="K1589" s="27" t="s">
        <v>73</v>
      </c>
      <c r="L1589" s="31" t="s">
        <v>2662</v>
      </c>
      <c r="M1589" s="32">
        <v>0.37</v>
      </c>
      <c r="N1589" s="27" t="s">
        <v>33</v>
      </c>
      <c r="O1589" s="27" t="s">
        <v>111</v>
      </c>
      <c r="P1589" s="27" t="s">
        <v>331</v>
      </c>
      <c r="Q1589" s="27" t="s">
        <v>2663</v>
      </c>
      <c r="R1589" s="33">
        <v>4038</v>
      </c>
      <c r="S1589" s="34">
        <v>42149</v>
      </c>
      <c r="T1589" s="34">
        <v>42151</v>
      </c>
      <c r="U1589" s="29">
        <v>17.505299999999998</v>
      </c>
      <c r="V1589" s="26">
        <v>8</v>
      </c>
      <c r="W1589" s="29">
        <v>25.37</v>
      </c>
      <c r="X1589" s="26">
        <v>88371</v>
      </c>
      <c r="Y1589" s="35">
        <v>4.71</v>
      </c>
      <c r="Z1589" s="1" t="s">
        <v>3014</v>
      </c>
      <c r="AA1589" s="36">
        <v>0.252</v>
      </c>
      <c r="AB1589" s="54">
        <v>15.9831</v>
      </c>
      <c r="AC1589" s="54">
        <v>1.1733625000000001</v>
      </c>
      <c r="AD1589" s="36">
        <v>7.1227000000000054</v>
      </c>
    </row>
    <row r="1590" spans="1:30" s="37" customFormat="1" ht="15.75" customHeight="1" x14ac:dyDescent="0.2">
      <c r="A1590" s="26">
        <v>827</v>
      </c>
      <c r="B1590" s="27" t="s">
        <v>2666</v>
      </c>
      <c r="C1590" s="27" t="s">
        <v>116</v>
      </c>
      <c r="D1590" s="28">
        <v>0.01</v>
      </c>
      <c r="E1590" s="29">
        <v>6.98</v>
      </c>
      <c r="F1590" s="29">
        <v>1.6</v>
      </c>
      <c r="G1590" s="30" t="s">
        <v>39</v>
      </c>
      <c r="H1590" s="27" t="s">
        <v>71</v>
      </c>
      <c r="I1590" s="27" t="s">
        <v>49</v>
      </c>
      <c r="J1590" s="27" t="s">
        <v>88</v>
      </c>
      <c r="K1590" s="27" t="s">
        <v>51</v>
      </c>
      <c r="L1590" s="31" t="s">
        <v>722</v>
      </c>
      <c r="M1590" s="32">
        <v>0.38</v>
      </c>
      <c r="N1590" s="27" t="s">
        <v>33</v>
      </c>
      <c r="O1590" s="27" t="s">
        <v>53</v>
      </c>
      <c r="P1590" s="27" t="s">
        <v>187</v>
      </c>
      <c r="Q1590" s="27" t="s">
        <v>2649</v>
      </c>
      <c r="R1590" s="33">
        <v>79109</v>
      </c>
      <c r="S1590" s="34">
        <v>42149</v>
      </c>
      <c r="T1590" s="34">
        <v>42150</v>
      </c>
      <c r="U1590" s="29">
        <v>0.34599999999999997</v>
      </c>
      <c r="V1590" s="26">
        <v>3</v>
      </c>
      <c r="W1590" s="29">
        <v>21.93</v>
      </c>
      <c r="X1590" s="26">
        <v>89259</v>
      </c>
      <c r="Y1590" s="35">
        <v>27.08</v>
      </c>
      <c r="Z1590" s="1" t="s">
        <v>3012</v>
      </c>
      <c r="AA1590" s="36">
        <v>0.2094</v>
      </c>
      <c r="AB1590" s="54">
        <v>13.5966</v>
      </c>
      <c r="AC1590" s="54">
        <v>2.7778</v>
      </c>
      <c r="AD1590" s="36">
        <v>19.7746</v>
      </c>
    </row>
    <row r="1591" spans="1:30" s="37" customFormat="1" ht="15.75" customHeight="1" x14ac:dyDescent="0.2">
      <c r="A1591" s="26">
        <v>1054</v>
      </c>
      <c r="B1591" s="27" t="s">
        <v>2675</v>
      </c>
      <c r="C1591" s="27" t="s">
        <v>3094</v>
      </c>
      <c r="D1591" s="28">
        <v>0.06</v>
      </c>
      <c r="E1591" s="29">
        <v>20.99</v>
      </c>
      <c r="F1591" s="29">
        <v>2.5</v>
      </c>
      <c r="G1591" s="30" t="s">
        <v>39</v>
      </c>
      <c r="H1591" s="27" t="s">
        <v>94</v>
      </c>
      <c r="I1591" s="27" t="s">
        <v>41</v>
      </c>
      <c r="J1591" s="27" t="s">
        <v>135</v>
      </c>
      <c r="K1591" s="27" t="s">
        <v>51</v>
      </c>
      <c r="L1591" s="31" t="s">
        <v>1201</v>
      </c>
      <c r="M1591" s="32">
        <v>0.81</v>
      </c>
      <c r="N1591" s="27" t="s">
        <v>33</v>
      </c>
      <c r="O1591" s="27" t="s">
        <v>60</v>
      </c>
      <c r="P1591" s="27" t="s">
        <v>588</v>
      </c>
      <c r="Q1591" s="27" t="s">
        <v>2676</v>
      </c>
      <c r="R1591" s="33">
        <v>85374</v>
      </c>
      <c r="S1591" s="34">
        <v>42149</v>
      </c>
      <c r="T1591" s="34">
        <v>42151</v>
      </c>
      <c r="U1591" s="29">
        <v>-112.18899999999999</v>
      </c>
      <c r="V1591" s="26">
        <v>1</v>
      </c>
      <c r="W1591" s="29">
        <v>17.829999999999998</v>
      </c>
      <c r="X1591" s="26">
        <v>90069</v>
      </c>
      <c r="Y1591" s="35">
        <v>15.91</v>
      </c>
      <c r="Z1591" s="1" t="s">
        <v>3013</v>
      </c>
      <c r="AA1591" s="36">
        <v>1.2593999999999999</v>
      </c>
      <c r="AB1591" s="54">
        <v>3.3876999999999988</v>
      </c>
      <c r="AC1591" s="54">
        <v>14.442299999999999</v>
      </c>
      <c r="AD1591" s="36">
        <v>126.25959999999999</v>
      </c>
    </row>
    <row r="1592" spans="1:30" s="37" customFormat="1" ht="15.75" customHeight="1" x14ac:dyDescent="0.2">
      <c r="A1592" s="26">
        <v>2928</v>
      </c>
      <c r="B1592" s="27" t="s">
        <v>2684</v>
      </c>
      <c r="C1592" s="27" t="s">
        <v>26</v>
      </c>
      <c r="D1592" s="28">
        <v>0.02</v>
      </c>
      <c r="E1592" s="29">
        <v>54.1</v>
      </c>
      <c r="F1592" s="29">
        <v>19.989999999999998</v>
      </c>
      <c r="G1592" s="30" t="s">
        <v>39</v>
      </c>
      <c r="H1592" s="27" t="s">
        <v>40</v>
      </c>
      <c r="I1592" s="27" t="s">
        <v>49</v>
      </c>
      <c r="J1592" s="27" t="s">
        <v>78</v>
      </c>
      <c r="K1592" s="27" t="s">
        <v>73</v>
      </c>
      <c r="L1592" s="31" t="s">
        <v>1264</v>
      </c>
      <c r="M1592" s="32">
        <v>0.59</v>
      </c>
      <c r="N1592" s="27" t="s">
        <v>33</v>
      </c>
      <c r="O1592" s="27" t="s">
        <v>34</v>
      </c>
      <c r="P1592" s="27" t="s">
        <v>271</v>
      </c>
      <c r="Q1592" s="27" t="s">
        <v>2686</v>
      </c>
      <c r="R1592" s="33">
        <v>29418</v>
      </c>
      <c r="S1592" s="34">
        <v>42150</v>
      </c>
      <c r="T1592" s="34">
        <v>42151</v>
      </c>
      <c r="U1592" s="29">
        <v>-33.585999999999999</v>
      </c>
      <c r="V1592" s="26">
        <v>36</v>
      </c>
      <c r="W1592" s="29">
        <v>1944.87</v>
      </c>
      <c r="X1592" s="26">
        <v>90218</v>
      </c>
      <c r="Y1592" s="35">
        <v>11.31</v>
      </c>
      <c r="Z1592" s="1" t="s">
        <v>3011</v>
      </c>
      <c r="AA1592" s="36">
        <v>38.952000000000005</v>
      </c>
      <c r="AB1592" s="54">
        <v>797.39670000000001</v>
      </c>
      <c r="AC1592" s="54">
        <v>31.87425833333333</v>
      </c>
      <c r="AD1592" s="36">
        <v>1919.5139999999999</v>
      </c>
    </row>
    <row r="1593" spans="1:30" s="37" customFormat="1" ht="15.75" customHeight="1" x14ac:dyDescent="0.2">
      <c r="A1593" s="26">
        <v>241</v>
      </c>
      <c r="B1593" s="27" t="s">
        <v>2240</v>
      </c>
      <c r="C1593" s="27" t="s">
        <v>48</v>
      </c>
      <c r="D1593" s="28">
        <v>0.02</v>
      </c>
      <c r="E1593" s="29">
        <v>125.99</v>
      </c>
      <c r="F1593" s="29">
        <v>3</v>
      </c>
      <c r="G1593" s="30" t="s">
        <v>39</v>
      </c>
      <c r="H1593" s="27" t="s">
        <v>3095</v>
      </c>
      <c r="I1593" s="27" t="s">
        <v>41</v>
      </c>
      <c r="J1593" s="27" t="s">
        <v>135</v>
      </c>
      <c r="K1593" s="27" t="s">
        <v>73</v>
      </c>
      <c r="L1593" s="31" t="s">
        <v>2688</v>
      </c>
      <c r="M1593" s="32">
        <v>0.59</v>
      </c>
      <c r="N1593" s="27" t="s">
        <v>33</v>
      </c>
      <c r="O1593" s="27" t="s">
        <v>60</v>
      </c>
      <c r="P1593" s="27" t="s">
        <v>61</v>
      </c>
      <c r="Q1593" s="27" t="s">
        <v>2241</v>
      </c>
      <c r="R1593" s="33">
        <v>81503</v>
      </c>
      <c r="S1593" s="34">
        <v>42150</v>
      </c>
      <c r="T1593" s="34">
        <v>42150</v>
      </c>
      <c r="U1593" s="29">
        <v>398.358</v>
      </c>
      <c r="V1593" s="26">
        <v>8</v>
      </c>
      <c r="W1593" s="29">
        <v>873.18</v>
      </c>
      <c r="X1593" s="26">
        <v>90480</v>
      </c>
      <c r="Y1593" s="35">
        <v>15.66</v>
      </c>
      <c r="Z1593" s="1" t="s">
        <v>3013</v>
      </c>
      <c r="AA1593" s="36">
        <v>20.1584</v>
      </c>
      <c r="AB1593" s="54">
        <v>358.00380000000001</v>
      </c>
      <c r="AC1593" s="54">
        <v>64.397024999999999</v>
      </c>
      <c r="AD1593" s="36">
        <v>451.66359999999997</v>
      </c>
    </row>
    <row r="1594" spans="1:30" s="37" customFormat="1" ht="15.75" customHeight="1" x14ac:dyDescent="0.2">
      <c r="A1594" s="26">
        <v>2266</v>
      </c>
      <c r="B1594" s="27" t="s">
        <v>2682</v>
      </c>
      <c r="C1594" s="27" t="s">
        <v>26</v>
      </c>
      <c r="D1594" s="28">
        <v>0.01</v>
      </c>
      <c r="E1594" s="29">
        <v>15.67</v>
      </c>
      <c r="F1594" s="29">
        <v>1.39</v>
      </c>
      <c r="G1594" s="30" t="s">
        <v>39</v>
      </c>
      <c r="H1594" s="27" t="s">
        <v>94</v>
      </c>
      <c r="I1594" s="27" t="s">
        <v>49</v>
      </c>
      <c r="J1594" s="27" t="s">
        <v>345</v>
      </c>
      <c r="K1594" s="27" t="s">
        <v>73</v>
      </c>
      <c r="L1594" s="31" t="s">
        <v>2484</v>
      </c>
      <c r="M1594" s="32">
        <v>0.38</v>
      </c>
      <c r="N1594" s="27" t="s">
        <v>33</v>
      </c>
      <c r="O1594" s="27" t="s">
        <v>53</v>
      </c>
      <c r="P1594" s="27" t="s">
        <v>80</v>
      </c>
      <c r="Q1594" s="27" t="s">
        <v>2683</v>
      </c>
      <c r="R1594" s="33">
        <v>63122</v>
      </c>
      <c r="S1594" s="34">
        <v>42150</v>
      </c>
      <c r="T1594" s="34">
        <v>42151</v>
      </c>
      <c r="U1594" s="29">
        <v>171.26490000000001</v>
      </c>
      <c r="V1594" s="26">
        <v>16</v>
      </c>
      <c r="W1594" s="29">
        <v>248.21</v>
      </c>
      <c r="X1594" s="26">
        <v>86610</v>
      </c>
      <c r="Y1594" s="35">
        <v>5.5600000000000005</v>
      </c>
      <c r="Z1594" s="1" t="s">
        <v>3012</v>
      </c>
      <c r="AA1594" s="36">
        <v>2.5072000000000001</v>
      </c>
      <c r="AB1594" s="54">
        <v>153.89019999999999</v>
      </c>
      <c r="AC1594" s="54">
        <v>5.8949875</v>
      </c>
      <c r="AD1594" s="36">
        <v>73.047899999999998</v>
      </c>
    </row>
    <row r="1595" spans="1:30" s="37" customFormat="1" ht="15.75" customHeight="1" x14ac:dyDescent="0.2">
      <c r="A1595" s="26">
        <v>2928</v>
      </c>
      <c r="B1595" s="27" t="s">
        <v>2684</v>
      </c>
      <c r="C1595" s="27" t="s">
        <v>26</v>
      </c>
      <c r="D1595" s="28">
        <v>0.02</v>
      </c>
      <c r="E1595" s="29">
        <v>5.58</v>
      </c>
      <c r="F1595" s="29">
        <v>2.99</v>
      </c>
      <c r="G1595" s="30" t="s">
        <v>39</v>
      </c>
      <c r="H1595" s="27" t="s">
        <v>40</v>
      </c>
      <c r="I1595" s="27" t="s">
        <v>49</v>
      </c>
      <c r="J1595" s="27" t="s">
        <v>72</v>
      </c>
      <c r="K1595" s="27" t="s">
        <v>73</v>
      </c>
      <c r="L1595" s="31" t="s">
        <v>2685</v>
      </c>
      <c r="M1595" s="32">
        <v>0.37</v>
      </c>
      <c r="N1595" s="27" t="s">
        <v>33</v>
      </c>
      <c r="O1595" s="27" t="s">
        <v>34</v>
      </c>
      <c r="P1595" s="27" t="s">
        <v>271</v>
      </c>
      <c r="Q1595" s="27" t="s">
        <v>2686</v>
      </c>
      <c r="R1595" s="33">
        <v>29418</v>
      </c>
      <c r="S1595" s="34">
        <v>42150</v>
      </c>
      <c r="T1595" s="34">
        <v>42152</v>
      </c>
      <c r="U1595" s="29">
        <v>689.32799999999997</v>
      </c>
      <c r="V1595" s="26">
        <v>42</v>
      </c>
      <c r="W1595" s="29">
        <v>236.83</v>
      </c>
      <c r="X1595" s="26">
        <v>90218</v>
      </c>
      <c r="Y1595" s="35">
        <v>54.08</v>
      </c>
      <c r="Z1595" s="1" t="s">
        <v>3011</v>
      </c>
      <c r="AA1595" s="36">
        <v>4.6871999999999998</v>
      </c>
      <c r="AB1595" s="54">
        <v>149.2029</v>
      </c>
      <c r="AC1595" s="54">
        <v>2.0863595238095241</v>
      </c>
      <c r="AD1595" s="36">
        <v>-460.1751999999999</v>
      </c>
    </row>
    <row r="1596" spans="1:30" s="37" customFormat="1" ht="15.75" customHeight="1" x14ac:dyDescent="0.2">
      <c r="A1596" s="26">
        <v>241</v>
      </c>
      <c r="B1596" s="27" t="s">
        <v>2240</v>
      </c>
      <c r="C1596" s="27" t="s">
        <v>48</v>
      </c>
      <c r="D1596" s="28">
        <v>0.01</v>
      </c>
      <c r="E1596" s="29">
        <v>5.94</v>
      </c>
      <c r="F1596" s="29">
        <v>9.92</v>
      </c>
      <c r="G1596" s="30" t="s">
        <v>39</v>
      </c>
      <c r="H1596" s="27" t="s">
        <v>3095</v>
      </c>
      <c r="I1596" s="27" t="s">
        <v>49</v>
      </c>
      <c r="J1596" s="27" t="s">
        <v>72</v>
      </c>
      <c r="K1596" s="27" t="s">
        <v>73</v>
      </c>
      <c r="L1596" s="31" t="s">
        <v>2591</v>
      </c>
      <c r="M1596" s="32">
        <v>0.38</v>
      </c>
      <c r="N1596" s="27" t="s">
        <v>33</v>
      </c>
      <c r="O1596" s="27" t="s">
        <v>60</v>
      </c>
      <c r="P1596" s="27" t="s">
        <v>61</v>
      </c>
      <c r="Q1596" s="27" t="s">
        <v>2241</v>
      </c>
      <c r="R1596" s="33">
        <v>81503</v>
      </c>
      <c r="S1596" s="34">
        <v>42150</v>
      </c>
      <c r="T1596" s="34">
        <v>42157</v>
      </c>
      <c r="U1596" s="29">
        <v>-256.51900000000001</v>
      </c>
      <c r="V1596" s="26">
        <v>13</v>
      </c>
      <c r="W1596" s="29">
        <v>79.930000000000007</v>
      </c>
      <c r="X1596" s="26">
        <v>90480</v>
      </c>
      <c r="Y1596" s="35">
        <v>2.5700000000000003</v>
      </c>
      <c r="Z1596" s="1" t="s">
        <v>3013</v>
      </c>
      <c r="AA1596" s="36">
        <v>0.77220000000000011</v>
      </c>
      <c r="AB1596" s="54">
        <v>49.556600000000003</v>
      </c>
      <c r="AC1596" s="54">
        <v>2.3364153846153846</v>
      </c>
      <c r="AD1596" s="36">
        <v>325.7568</v>
      </c>
    </row>
    <row r="1597" spans="1:30" s="37" customFormat="1" ht="15.75" customHeight="1" x14ac:dyDescent="0.2">
      <c r="A1597" s="26">
        <v>2266</v>
      </c>
      <c r="B1597" s="27" t="s">
        <v>2682</v>
      </c>
      <c r="C1597" s="27" t="s">
        <v>26</v>
      </c>
      <c r="D1597" s="28">
        <v>0.02</v>
      </c>
      <c r="E1597" s="29">
        <v>11.33</v>
      </c>
      <c r="F1597" s="29">
        <v>6.12</v>
      </c>
      <c r="G1597" s="30" t="s">
        <v>39</v>
      </c>
      <c r="H1597" s="27" t="s">
        <v>94</v>
      </c>
      <c r="I1597" s="27" t="s">
        <v>49</v>
      </c>
      <c r="J1597" s="27" t="s">
        <v>95</v>
      </c>
      <c r="K1597" s="27" t="s">
        <v>144</v>
      </c>
      <c r="L1597" s="31" t="s">
        <v>1953</v>
      </c>
      <c r="M1597" s="32">
        <v>0.42</v>
      </c>
      <c r="N1597" s="27" t="s">
        <v>33</v>
      </c>
      <c r="O1597" s="27" t="s">
        <v>53</v>
      </c>
      <c r="P1597" s="27" t="s">
        <v>80</v>
      </c>
      <c r="Q1597" s="27" t="s">
        <v>2683</v>
      </c>
      <c r="R1597" s="33">
        <v>63122</v>
      </c>
      <c r="S1597" s="34">
        <v>42150</v>
      </c>
      <c r="T1597" s="34">
        <v>42152</v>
      </c>
      <c r="U1597" s="29">
        <v>-14.52</v>
      </c>
      <c r="V1597" s="26">
        <v>3</v>
      </c>
      <c r="W1597" s="29">
        <v>35.35</v>
      </c>
      <c r="X1597" s="26">
        <v>86610</v>
      </c>
      <c r="Y1597" s="35">
        <v>5.9300000000000006</v>
      </c>
      <c r="Z1597" s="1" t="s">
        <v>3012</v>
      </c>
      <c r="AA1597" s="36">
        <v>0.67979999999999996</v>
      </c>
      <c r="AB1597" s="54">
        <v>20.503000000000004</v>
      </c>
      <c r="AC1597" s="54">
        <v>4.9489999999999998</v>
      </c>
      <c r="AD1597" s="36">
        <v>43.0702</v>
      </c>
    </row>
    <row r="1598" spans="1:30" s="37" customFormat="1" ht="15.75" customHeight="1" x14ac:dyDescent="0.2">
      <c r="A1598" s="26">
        <v>2941</v>
      </c>
      <c r="B1598" s="27" t="s">
        <v>2687</v>
      </c>
      <c r="C1598" s="27" t="s">
        <v>26</v>
      </c>
      <c r="D1598" s="28">
        <v>0.05</v>
      </c>
      <c r="E1598" s="29">
        <v>2.62</v>
      </c>
      <c r="F1598" s="29">
        <v>0.8</v>
      </c>
      <c r="G1598" s="30" t="s">
        <v>39</v>
      </c>
      <c r="H1598" s="27" t="s">
        <v>3095</v>
      </c>
      <c r="I1598" s="27" t="s">
        <v>49</v>
      </c>
      <c r="J1598" s="27" t="s">
        <v>176</v>
      </c>
      <c r="K1598" s="27" t="s">
        <v>51</v>
      </c>
      <c r="L1598" s="31" t="s">
        <v>2124</v>
      </c>
      <c r="M1598" s="32">
        <v>0.39</v>
      </c>
      <c r="N1598" s="27" t="s">
        <v>33</v>
      </c>
      <c r="O1598" s="27" t="s">
        <v>111</v>
      </c>
      <c r="P1598" s="27" t="s">
        <v>397</v>
      </c>
      <c r="Q1598" s="27" t="s">
        <v>1641</v>
      </c>
      <c r="R1598" s="33">
        <v>7960</v>
      </c>
      <c r="S1598" s="34">
        <v>42150</v>
      </c>
      <c r="T1598" s="34">
        <v>42151</v>
      </c>
      <c r="U1598" s="29">
        <v>12.71</v>
      </c>
      <c r="V1598" s="26">
        <v>8</v>
      </c>
      <c r="W1598" s="29">
        <v>21.41</v>
      </c>
      <c r="X1598" s="26">
        <v>87618</v>
      </c>
      <c r="Y1598" s="35">
        <v>125.97</v>
      </c>
      <c r="Z1598" s="1" t="s">
        <v>3014</v>
      </c>
      <c r="AA1598" s="36">
        <v>1.048</v>
      </c>
      <c r="AB1598" s="54">
        <v>13.0601</v>
      </c>
      <c r="AC1598" s="54">
        <v>1.0437375</v>
      </c>
      <c r="AD1598" s="36">
        <v>6.8519999999999985</v>
      </c>
    </row>
    <row r="1599" spans="1:30" s="37" customFormat="1" ht="15.75" customHeight="1" x14ac:dyDescent="0.2">
      <c r="A1599" s="26">
        <v>451</v>
      </c>
      <c r="B1599" s="27" t="s">
        <v>219</v>
      </c>
      <c r="C1599" s="27" t="s">
        <v>26</v>
      </c>
      <c r="D1599" s="28">
        <v>0.04</v>
      </c>
      <c r="E1599" s="29">
        <v>37.700000000000003</v>
      </c>
      <c r="F1599" s="29">
        <v>2.99</v>
      </c>
      <c r="G1599" s="30" t="s">
        <v>39</v>
      </c>
      <c r="H1599" s="27" t="s">
        <v>71</v>
      </c>
      <c r="I1599" s="27" t="s">
        <v>49</v>
      </c>
      <c r="J1599" s="27" t="s">
        <v>72</v>
      </c>
      <c r="K1599" s="27" t="s">
        <v>73</v>
      </c>
      <c r="L1599" s="31" t="s">
        <v>2516</v>
      </c>
      <c r="M1599" s="32">
        <v>0.35</v>
      </c>
      <c r="N1599" s="27" t="s">
        <v>33</v>
      </c>
      <c r="O1599" s="27" t="s">
        <v>60</v>
      </c>
      <c r="P1599" s="27" t="s">
        <v>90</v>
      </c>
      <c r="Q1599" s="27" t="s">
        <v>221</v>
      </c>
      <c r="R1599" s="33">
        <v>94024</v>
      </c>
      <c r="S1599" s="34">
        <v>42151</v>
      </c>
      <c r="T1599" s="34">
        <v>42152</v>
      </c>
      <c r="U1599" s="29">
        <v>299.6739</v>
      </c>
      <c r="V1599" s="26">
        <v>12</v>
      </c>
      <c r="W1599" s="29">
        <v>434.31</v>
      </c>
      <c r="X1599" s="26">
        <v>86012</v>
      </c>
      <c r="Y1599" s="35">
        <v>37.660000000000004</v>
      </c>
      <c r="Z1599" s="1" t="s">
        <v>3013</v>
      </c>
      <c r="AA1599" s="36">
        <v>18.096000000000004</v>
      </c>
      <c r="AB1599" s="54">
        <v>282.30150000000003</v>
      </c>
      <c r="AC1599" s="54">
        <v>12.667375</v>
      </c>
      <c r="AD1599" s="36">
        <v>113.55009999999999</v>
      </c>
    </row>
    <row r="1600" spans="1:30" s="37" customFormat="1" ht="15.75" customHeight="1" x14ac:dyDescent="0.2">
      <c r="A1600" s="26">
        <v>865</v>
      </c>
      <c r="B1600" s="27" t="s">
        <v>1386</v>
      </c>
      <c r="C1600" s="27" t="s">
        <v>26</v>
      </c>
      <c r="D1600" s="28">
        <v>0.03</v>
      </c>
      <c r="E1600" s="29">
        <v>14.2</v>
      </c>
      <c r="F1600" s="29">
        <v>5.3</v>
      </c>
      <c r="G1600" s="30" t="s">
        <v>39</v>
      </c>
      <c r="H1600" s="27" t="s">
        <v>94</v>
      </c>
      <c r="I1600" s="27" t="s">
        <v>29</v>
      </c>
      <c r="J1600" s="27" t="s">
        <v>126</v>
      </c>
      <c r="K1600" s="27" t="s">
        <v>51</v>
      </c>
      <c r="L1600" s="31" t="s">
        <v>288</v>
      </c>
      <c r="M1600" s="32">
        <v>0.46</v>
      </c>
      <c r="N1600" s="27" t="s">
        <v>33</v>
      </c>
      <c r="O1600" s="27" t="s">
        <v>53</v>
      </c>
      <c r="P1600" s="27" t="s">
        <v>54</v>
      </c>
      <c r="Q1600" s="27" t="s">
        <v>1042</v>
      </c>
      <c r="R1600" s="33">
        <v>46312</v>
      </c>
      <c r="S1600" s="34">
        <v>42151</v>
      </c>
      <c r="T1600" s="34">
        <v>42152</v>
      </c>
      <c r="U1600" s="29">
        <v>122.21</v>
      </c>
      <c r="V1600" s="26">
        <v>18</v>
      </c>
      <c r="W1600" s="29">
        <v>267.2</v>
      </c>
      <c r="X1600" s="26">
        <v>90674</v>
      </c>
      <c r="Y1600" s="35">
        <v>55.980000000000004</v>
      </c>
      <c r="Z1600" s="1" t="s">
        <v>3012</v>
      </c>
      <c r="AA1600" s="36">
        <v>7.6680000000000001</v>
      </c>
      <c r="AB1600" s="54">
        <v>144.28800000000001</v>
      </c>
      <c r="AC1600" s="54">
        <v>6.8284444444444441</v>
      </c>
      <c r="AD1600" s="36">
        <v>132.02199999999999</v>
      </c>
    </row>
    <row r="1601" spans="1:30" s="37" customFormat="1" ht="15.75" customHeight="1" x14ac:dyDescent="0.2">
      <c r="A1601" s="26">
        <v>370</v>
      </c>
      <c r="B1601" s="27" t="s">
        <v>2691</v>
      </c>
      <c r="C1601" s="27" t="s">
        <v>3094</v>
      </c>
      <c r="D1601" s="28">
        <v>0.02</v>
      </c>
      <c r="E1601" s="29">
        <v>20.99</v>
      </c>
      <c r="F1601" s="29">
        <v>4.8099999999999996</v>
      </c>
      <c r="G1601" s="30" t="s">
        <v>39</v>
      </c>
      <c r="H1601" s="27" t="s">
        <v>94</v>
      </c>
      <c r="I1601" s="27" t="s">
        <v>41</v>
      </c>
      <c r="J1601" s="27" t="s">
        <v>135</v>
      </c>
      <c r="K1601" s="27" t="s">
        <v>144</v>
      </c>
      <c r="L1601" s="31" t="s">
        <v>1431</v>
      </c>
      <c r="M1601" s="32">
        <v>0.57999999999999996</v>
      </c>
      <c r="N1601" s="27" t="s">
        <v>33</v>
      </c>
      <c r="O1601" s="27" t="s">
        <v>111</v>
      </c>
      <c r="P1601" s="27" t="s">
        <v>331</v>
      </c>
      <c r="Q1601" s="27" t="s">
        <v>1658</v>
      </c>
      <c r="R1601" s="33">
        <v>4240</v>
      </c>
      <c r="S1601" s="34">
        <v>42151</v>
      </c>
      <c r="T1601" s="34">
        <v>42153</v>
      </c>
      <c r="U1601" s="29">
        <v>49.787999999999997</v>
      </c>
      <c r="V1601" s="26">
        <v>15</v>
      </c>
      <c r="W1601" s="29">
        <v>266.39</v>
      </c>
      <c r="X1601" s="26">
        <v>90291</v>
      </c>
      <c r="Y1601" s="35">
        <v>14.17</v>
      </c>
      <c r="Z1601" s="1" t="s">
        <v>3014</v>
      </c>
      <c r="AA1601" s="36">
        <v>6.2969999999999988</v>
      </c>
      <c r="AB1601" s="54">
        <v>111.88380000000001</v>
      </c>
      <c r="AC1601" s="54">
        <v>10.300413333333333</v>
      </c>
      <c r="AD1601" s="36">
        <v>205.495</v>
      </c>
    </row>
    <row r="1602" spans="1:30" s="37" customFormat="1" ht="15.75" customHeight="1" x14ac:dyDescent="0.2">
      <c r="A1602" s="26">
        <v>452</v>
      </c>
      <c r="B1602" s="27" t="s">
        <v>2689</v>
      </c>
      <c r="C1602" s="27" t="s">
        <v>26</v>
      </c>
      <c r="D1602" s="28">
        <v>0.01</v>
      </c>
      <c r="E1602" s="29">
        <v>55.99</v>
      </c>
      <c r="F1602" s="29">
        <v>5</v>
      </c>
      <c r="G1602" s="30" t="s">
        <v>39</v>
      </c>
      <c r="H1602" s="27" t="s">
        <v>71</v>
      </c>
      <c r="I1602" s="27" t="s">
        <v>41</v>
      </c>
      <c r="J1602" s="27" t="s">
        <v>135</v>
      </c>
      <c r="K1602" s="27" t="s">
        <v>43</v>
      </c>
      <c r="L1602" s="31" t="s">
        <v>1938</v>
      </c>
      <c r="M1602" s="32">
        <v>0.83</v>
      </c>
      <c r="N1602" s="27" t="s">
        <v>33</v>
      </c>
      <c r="O1602" s="27" t="s">
        <v>60</v>
      </c>
      <c r="P1602" s="27" t="s">
        <v>90</v>
      </c>
      <c r="Q1602" s="27" t="s">
        <v>2690</v>
      </c>
      <c r="R1602" s="33">
        <v>93635</v>
      </c>
      <c r="S1602" s="34">
        <v>42151</v>
      </c>
      <c r="T1602" s="34">
        <v>42152</v>
      </c>
      <c r="U1602" s="29">
        <v>-235.89500000000001</v>
      </c>
      <c r="V1602" s="26">
        <v>1</v>
      </c>
      <c r="W1602" s="29">
        <v>51.83</v>
      </c>
      <c r="X1602" s="26">
        <v>86012</v>
      </c>
      <c r="Y1602" s="35">
        <v>20.97</v>
      </c>
      <c r="Z1602" s="1" t="s">
        <v>3013</v>
      </c>
      <c r="AA1602" s="36">
        <v>0.55990000000000006</v>
      </c>
      <c r="AB1602" s="54">
        <v>8.8111000000000015</v>
      </c>
      <c r="AC1602" s="54">
        <v>43.018899999999995</v>
      </c>
      <c r="AD1602" s="36">
        <v>282.1651</v>
      </c>
    </row>
    <row r="1603" spans="1:30" s="37" customFormat="1" ht="15.75" customHeight="1" x14ac:dyDescent="0.2">
      <c r="A1603" s="26">
        <v>371</v>
      </c>
      <c r="B1603" s="27" t="s">
        <v>2692</v>
      </c>
      <c r="C1603" s="27" t="s">
        <v>3094</v>
      </c>
      <c r="D1603" s="28">
        <v>0.05</v>
      </c>
      <c r="E1603" s="29">
        <v>5.4</v>
      </c>
      <c r="F1603" s="29">
        <v>7.78</v>
      </c>
      <c r="G1603" s="30" t="s">
        <v>87</v>
      </c>
      <c r="H1603" s="27" t="s">
        <v>94</v>
      </c>
      <c r="I1603" s="27" t="s">
        <v>49</v>
      </c>
      <c r="J1603" s="27" t="s">
        <v>72</v>
      </c>
      <c r="K1603" s="27" t="s">
        <v>73</v>
      </c>
      <c r="L1603" s="31" t="s">
        <v>1484</v>
      </c>
      <c r="M1603" s="32">
        <v>0.37</v>
      </c>
      <c r="N1603" s="27" t="s">
        <v>33</v>
      </c>
      <c r="O1603" s="27" t="s">
        <v>111</v>
      </c>
      <c r="P1603" s="27" t="s">
        <v>403</v>
      </c>
      <c r="Q1603" s="27" t="s">
        <v>2693</v>
      </c>
      <c r="R1603" s="33">
        <v>2149</v>
      </c>
      <c r="S1603" s="34">
        <v>42151</v>
      </c>
      <c r="T1603" s="34">
        <v>42153</v>
      </c>
      <c r="U1603" s="29">
        <v>-132.62950000000001</v>
      </c>
      <c r="V1603" s="26">
        <v>9</v>
      </c>
      <c r="W1603" s="29">
        <v>51.82</v>
      </c>
      <c r="X1603" s="26">
        <v>90291</v>
      </c>
      <c r="Y1603" s="35">
        <v>5.3500000000000005</v>
      </c>
      <c r="Z1603" s="1" t="s">
        <v>3014</v>
      </c>
      <c r="AA1603" s="36">
        <v>2.4300000000000002</v>
      </c>
      <c r="AB1603" s="54">
        <v>32.646599999999999</v>
      </c>
      <c r="AC1603" s="54">
        <v>2.1303777777777779</v>
      </c>
      <c r="AD1603" s="36">
        <v>174.23949999999999</v>
      </c>
    </row>
    <row r="1604" spans="1:30" s="37" customFormat="1" ht="15.75" customHeight="1" x14ac:dyDescent="0.2">
      <c r="A1604" s="26">
        <v>250</v>
      </c>
      <c r="B1604" s="27" t="s">
        <v>2694</v>
      </c>
      <c r="C1604" s="27" t="s">
        <v>26</v>
      </c>
      <c r="D1604" s="28">
        <v>0.02</v>
      </c>
      <c r="E1604" s="29">
        <v>65.989999999999995</v>
      </c>
      <c r="F1604" s="29">
        <v>3.9</v>
      </c>
      <c r="G1604" s="30" t="s">
        <v>39</v>
      </c>
      <c r="H1604" s="27" t="s">
        <v>94</v>
      </c>
      <c r="I1604" s="27" t="s">
        <v>41</v>
      </c>
      <c r="J1604" s="27" t="s">
        <v>135</v>
      </c>
      <c r="K1604" s="27" t="s">
        <v>73</v>
      </c>
      <c r="L1604" s="31" t="s">
        <v>2697</v>
      </c>
      <c r="M1604" s="32">
        <v>0.55000000000000004</v>
      </c>
      <c r="N1604" s="27" t="s">
        <v>33</v>
      </c>
      <c r="O1604" s="27" t="s">
        <v>53</v>
      </c>
      <c r="P1604" s="27" t="s">
        <v>84</v>
      </c>
      <c r="Q1604" s="27" t="s">
        <v>2696</v>
      </c>
      <c r="R1604" s="33">
        <v>55423</v>
      </c>
      <c r="S1604" s="34">
        <v>42152</v>
      </c>
      <c r="T1604" s="34">
        <v>42153</v>
      </c>
      <c r="U1604" s="29">
        <v>1061.3789999999999</v>
      </c>
      <c r="V1604" s="26">
        <v>27</v>
      </c>
      <c r="W1604" s="29">
        <v>1543.55</v>
      </c>
      <c r="X1604" s="26">
        <v>87214</v>
      </c>
      <c r="Y1604" s="35">
        <v>2.56</v>
      </c>
      <c r="Z1604" s="1" t="s">
        <v>3012</v>
      </c>
      <c r="AA1604" s="36">
        <v>35.634599999999999</v>
      </c>
      <c r="AB1604" s="54">
        <v>694.59749999999985</v>
      </c>
      <c r="AC1604" s="54">
        <v>31.442685185185187</v>
      </c>
      <c r="AD1604" s="36">
        <v>442.63639999999987</v>
      </c>
    </row>
    <row r="1605" spans="1:30" s="37" customFormat="1" ht="15.75" customHeight="1" x14ac:dyDescent="0.2">
      <c r="A1605" s="26">
        <v>2709</v>
      </c>
      <c r="B1605" s="27" t="s">
        <v>2704</v>
      </c>
      <c r="C1605" s="27" t="s">
        <v>116</v>
      </c>
      <c r="D1605" s="28">
        <v>0</v>
      </c>
      <c r="E1605" s="29">
        <v>90.98</v>
      </c>
      <c r="F1605" s="29">
        <v>56.2</v>
      </c>
      <c r="G1605" s="30" t="s">
        <v>39</v>
      </c>
      <c r="H1605" s="27" t="s">
        <v>40</v>
      </c>
      <c r="I1605" s="27" t="s">
        <v>29</v>
      </c>
      <c r="J1605" s="27" t="s">
        <v>126</v>
      </c>
      <c r="K1605" s="27" t="s">
        <v>144</v>
      </c>
      <c r="L1605" s="31" t="s">
        <v>807</v>
      </c>
      <c r="M1605" s="32">
        <v>0.74</v>
      </c>
      <c r="N1605" s="27" t="s">
        <v>33</v>
      </c>
      <c r="O1605" s="27" t="s">
        <v>111</v>
      </c>
      <c r="P1605" s="27" t="s">
        <v>418</v>
      </c>
      <c r="Q1605" s="27" t="s">
        <v>2705</v>
      </c>
      <c r="R1605" s="33">
        <v>21042</v>
      </c>
      <c r="S1605" s="34">
        <v>42152</v>
      </c>
      <c r="T1605" s="34">
        <v>42154</v>
      </c>
      <c r="U1605" s="29">
        <v>-1014.11</v>
      </c>
      <c r="V1605" s="26">
        <v>15</v>
      </c>
      <c r="W1605" s="29">
        <v>1425.71</v>
      </c>
      <c r="X1605" s="26">
        <v>89240</v>
      </c>
      <c r="Y1605" s="35">
        <v>65.97</v>
      </c>
      <c r="Z1605" s="1" t="s">
        <v>3014</v>
      </c>
      <c r="AA1605" s="36">
        <v>0</v>
      </c>
      <c r="AB1605" s="54">
        <v>370.68460000000005</v>
      </c>
      <c r="AC1605" s="54">
        <v>70.335026666666678</v>
      </c>
      <c r="AD1605" s="36">
        <v>2383.62</v>
      </c>
    </row>
    <row r="1606" spans="1:30" s="37" customFormat="1" ht="15.75" customHeight="1" x14ac:dyDescent="0.2">
      <c r="A1606" s="26">
        <v>3206</v>
      </c>
      <c r="B1606" s="27" t="s">
        <v>1926</v>
      </c>
      <c r="C1606" s="27" t="s">
        <v>3094</v>
      </c>
      <c r="D1606" s="28">
        <v>0.05</v>
      </c>
      <c r="E1606" s="29">
        <v>35.44</v>
      </c>
      <c r="F1606" s="29">
        <v>5.09</v>
      </c>
      <c r="G1606" s="30" t="s">
        <v>39</v>
      </c>
      <c r="H1606" s="27" t="s">
        <v>40</v>
      </c>
      <c r="I1606" s="27" t="s">
        <v>49</v>
      </c>
      <c r="J1606" s="27" t="s">
        <v>88</v>
      </c>
      <c r="K1606" s="27" t="s">
        <v>73</v>
      </c>
      <c r="L1606" s="31" t="s">
        <v>2078</v>
      </c>
      <c r="M1606" s="32">
        <v>0.38</v>
      </c>
      <c r="N1606" s="27" t="s">
        <v>33</v>
      </c>
      <c r="O1606" s="27" t="s">
        <v>60</v>
      </c>
      <c r="P1606" s="27" t="s">
        <v>490</v>
      </c>
      <c r="Q1606" s="27" t="s">
        <v>1928</v>
      </c>
      <c r="R1606" s="33">
        <v>83301</v>
      </c>
      <c r="S1606" s="34">
        <v>42152</v>
      </c>
      <c r="T1606" s="34">
        <v>42153</v>
      </c>
      <c r="U1606" s="29">
        <v>553.33169999999996</v>
      </c>
      <c r="V1606" s="26">
        <v>23</v>
      </c>
      <c r="W1606" s="29">
        <v>801.93</v>
      </c>
      <c r="X1606" s="26">
        <v>87935</v>
      </c>
      <c r="Y1606" s="35">
        <v>5.95</v>
      </c>
      <c r="Z1606" s="1" t="s">
        <v>3013</v>
      </c>
      <c r="AA1606" s="36">
        <v>40.756</v>
      </c>
      <c r="AB1606" s="54">
        <v>497.19659999999999</v>
      </c>
      <c r="AC1606" s="54">
        <v>13.249278260869565</v>
      </c>
      <c r="AD1606" s="36">
        <v>202.75229999999999</v>
      </c>
    </row>
    <row r="1607" spans="1:30" s="37" customFormat="1" ht="15.75" customHeight="1" x14ac:dyDescent="0.2">
      <c r="A1607" s="26">
        <v>1627</v>
      </c>
      <c r="B1607" s="27" t="s">
        <v>2698</v>
      </c>
      <c r="C1607" s="27" t="s">
        <v>38</v>
      </c>
      <c r="D1607" s="28">
        <v>0.06</v>
      </c>
      <c r="E1607" s="29">
        <v>43.57</v>
      </c>
      <c r="F1607" s="29">
        <v>16.36</v>
      </c>
      <c r="G1607" s="30" t="s">
        <v>39</v>
      </c>
      <c r="H1607" s="27" t="s">
        <v>94</v>
      </c>
      <c r="I1607" s="27" t="s">
        <v>49</v>
      </c>
      <c r="J1607" s="27" t="s">
        <v>78</v>
      </c>
      <c r="K1607" s="27" t="s">
        <v>73</v>
      </c>
      <c r="L1607" s="31" t="s">
        <v>2699</v>
      </c>
      <c r="M1607" s="32">
        <v>0.55000000000000004</v>
      </c>
      <c r="N1607" s="27" t="s">
        <v>33</v>
      </c>
      <c r="O1607" s="27" t="s">
        <v>34</v>
      </c>
      <c r="P1607" s="27" t="s">
        <v>400</v>
      </c>
      <c r="Q1607" s="27" t="s">
        <v>2700</v>
      </c>
      <c r="R1607" s="33">
        <v>37743</v>
      </c>
      <c r="S1607" s="34">
        <v>42152</v>
      </c>
      <c r="T1607" s="34">
        <v>42154</v>
      </c>
      <c r="U1607" s="29">
        <v>-38.808</v>
      </c>
      <c r="V1607" s="26">
        <v>17</v>
      </c>
      <c r="W1607" s="29">
        <v>710.16</v>
      </c>
      <c r="X1607" s="26">
        <v>90602</v>
      </c>
      <c r="Y1607" s="35">
        <v>17.669999999999998</v>
      </c>
      <c r="Z1607" s="1" t="s">
        <v>3011</v>
      </c>
      <c r="AA1607" s="36">
        <v>44.441399999999994</v>
      </c>
      <c r="AB1607" s="54">
        <v>319.57199999999995</v>
      </c>
      <c r="AC1607" s="54">
        <v>22.975764705882355</v>
      </c>
      <c r="AD1607" s="36">
        <v>688.16660000000002</v>
      </c>
    </row>
    <row r="1608" spans="1:30" s="37" customFormat="1" ht="15.75" customHeight="1" x14ac:dyDescent="0.2">
      <c r="A1608" s="26">
        <v>15</v>
      </c>
      <c r="B1608" s="27" t="s">
        <v>2071</v>
      </c>
      <c r="C1608" s="27" t="s">
        <v>116</v>
      </c>
      <c r="D1608" s="28">
        <v>0.01</v>
      </c>
      <c r="E1608" s="29">
        <v>35.94</v>
      </c>
      <c r="F1608" s="29">
        <v>6.66</v>
      </c>
      <c r="G1608" s="30" t="s">
        <v>39</v>
      </c>
      <c r="H1608" s="27" t="s">
        <v>3095</v>
      </c>
      <c r="I1608" s="27" t="s">
        <v>49</v>
      </c>
      <c r="J1608" s="27" t="s">
        <v>345</v>
      </c>
      <c r="K1608" s="27" t="s">
        <v>73</v>
      </c>
      <c r="L1608" s="31" t="s">
        <v>2122</v>
      </c>
      <c r="M1608" s="32">
        <v>0.4</v>
      </c>
      <c r="N1608" s="27" t="s">
        <v>33</v>
      </c>
      <c r="O1608" s="27" t="s">
        <v>111</v>
      </c>
      <c r="P1608" s="27" t="s">
        <v>112</v>
      </c>
      <c r="Q1608" s="27" t="s">
        <v>2073</v>
      </c>
      <c r="R1608" s="33">
        <v>11787</v>
      </c>
      <c r="S1608" s="34">
        <v>42152</v>
      </c>
      <c r="T1608" s="34">
        <v>42152</v>
      </c>
      <c r="U1608" s="29">
        <v>261.87569999999999</v>
      </c>
      <c r="V1608" s="26">
        <v>10</v>
      </c>
      <c r="W1608" s="29">
        <v>379.53</v>
      </c>
      <c r="X1608" s="26">
        <v>86839</v>
      </c>
      <c r="Y1608" s="35">
        <v>43.51</v>
      </c>
      <c r="Z1608" s="1" t="s">
        <v>3014</v>
      </c>
      <c r="AA1608" s="36">
        <v>3.5939999999999999</v>
      </c>
      <c r="AB1608" s="54">
        <v>227.71799999999999</v>
      </c>
      <c r="AC1608" s="54">
        <v>15.181199999999999</v>
      </c>
      <c r="AD1608" s="36">
        <v>107.40029999999996</v>
      </c>
    </row>
    <row r="1609" spans="1:30" s="37" customFormat="1" ht="15.75" customHeight="1" x14ac:dyDescent="0.2">
      <c r="A1609" s="26">
        <v>3154</v>
      </c>
      <c r="B1609" s="27" t="s">
        <v>781</v>
      </c>
      <c r="C1609" s="27" t="s">
        <v>26</v>
      </c>
      <c r="D1609" s="28">
        <v>0.03</v>
      </c>
      <c r="E1609" s="29">
        <v>17.7</v>
      </c>
      <c r="F1609" s="29">
        <v>9.4700000000000006</v>
      </c>
      <c r="G1609" s="30" t="s">
        <v>39</v>
      </c>
      <c r="H1609" s="27" t="s">
        <v>40</v>
      </c>
      <c r="I1609" s="27" t="s">
        <v>49</v>
      </c>
      <c r="J1609" s="27" t="s">
        <v>78</v>
      </c>
      <c r="K1609" s="27" t="s">
        <v>73</v>
      </c>
      <c r="L1609" s="31" t="s">
        <v>1051</v>
      </c>
      <c r="M1609" s="32">
        <v>0.59</v>
      </c>
      <c r="N1609" s="27" t="s">
        <v>33</v>
      </c>
      <c r="O1609" s="27" t="s">
        <v>34</v>
      </c>
      <c r="P1609" s="27" t="s">
        <v>123</v>
      </c>
      <c r="Q1609" s="27" t="s">
        <v>783</v>
      </c>
      <c r="R1609" s="33">
        <v>33710</v>
      </c>
      <c r="S1609" s="34">
        <v>42152</v>
      </c>
      <c r="T1609" s="34">
        <v>42154</v>
      </c>
      <c r="U1609" s="29">
        <v>28.182600000000001</v>
      </c>
      <c r="V1609" s="26">
        <v>11</v>
      </c>
      <c r="W1609" s="29">
        <v>201.77</v>
      </c>
      <c r="X1609" s="26">
        <v>86900</v>
      </c>
      <c r="Y1609" s="35">
        <v>5.8199999999999994</v>
      </c>
      <c r="Z1609" s="1" t="s">
        <v>3011</v>
      </c>
      <c r="AA1609" s="36">
        <v>5.8409999999999993</v>
      </c>
      <c r="AB1609" s="54">
        <v>82.725700000000018</v>
      </c>
      <c r="AC1609" s="54">
        <v>10.822209090909091</v>
      </c>
      <c r="AD1609" s="36">
        <v>158.27640000000002</v>
      </c>
    </row>
    <row r="1610" spans="1:30" s="37" customFormat="1" ht="15.75" customHeight="1" x14ac:dyDescent="0.2">
      <c r="A1610" s="26">
        <v>250</v>
      </c>
      <c r="B1610" s="27" t="s">
        <v>2694</v>
      </c>
      <c r="C1610" s="27" t="s">
        <v>26</v>
      </c>
      <c r="D1610" s="28">
        <v>0.02</v>
      </c>
      <c r="E1610" s="29">
        <v>2.58</v>
      </c>
      <c r="F1610" s="29">
        <v>1.3</v>
      </c>
      <c r="G1610" s="30" t="s">
        <v>87</v>
      </c>
      <c r="H1610" s="27" t="s">
        <v>94</v>
      </c>
      <c r="I1610" s="27" t="s">
        <v>49</v>
      </c>
      <c r="J1610" s="27" t="s">
        <v>50</v>
      </c>
      <c r="K1610" s="27" t="s">
        <v>51</v>
      </c>
      <c r="L1610" s="31" t="s">
        <v>2695</v>
      </c>
      <c r="M1610" s="32">
        <v>0.59</v>
      </c>
      <c r="N1610" s="27" t="s">
        <v>33</v>
      </c>
      <c r="O1610" s="27" t="s">
        <v>53</v>
      </c>
      <c r="P1610" s="27" t="s">
        <v>84</v>
      </c>
      <c r="Q1610" s="27" t="s">
        <v>2696</v>
      </c>
      <c r="R1610" s="33">
        <v>55423</v>
      </c>
      <c r="S1610" s="34">
        <v>42152</v>
      </c>
      <c r="T1610" s="34">
        <v>42153</v>
      </c>
      <c r="U1610" s="29">
        <v>1.1080000000000001</v>
      </c>
      <c r="V1610" s="26">
        <v>39</v>
      </c>
      <c r="W1610" s="29">
        <v>109.74</v>
      </c>
      <c r="X1610" s="26">
        <v>87214</v>
      </c>
      <c r="Y1610" s="35">
        <v>35.93</v>
      </c>
      <c r="Z1610" s="1" t="s">
        <v>3012</v>
      </c>
      <c r="AA1610" s="36">
        <v>2.0124</v>
      </c>
      <c r="AB1610" s="54">
        <v>44.993400000000001</v>
      </c>
      <c r="AC1610" s="54">
        <v>1.6601692307692306</v>
      </c>
      <c r="AD1610" s="36">
        <v>105.31959999999999</v>
      </c>
    </row>
    <row r="1611" spans="1:30" s="37" customFormat="1" ht="15.75" customHeight="1" x14ac:dyDescent="0.2">
      <c r="A1611" s="26">
        <v>3011</v>
      </c>
      <c r="B1611" s="27" t="s">
        <v>2314</v>
      </c>
      <c r="C1611" s="27" t="s">
        <v>26</v>
      </c>
      <c r="D1611" s="28">
        <v>0.03</v>
      </c>
      <c r="E1611" s="29">
        <v>5.98</v>
      </c>
      <c r="F1611" s="29">
        <v>5.35</v>
      </c>
      <c r="G1611" s="30" t="s">
        <v>39</v>
      </c>
      <c r="H1611" s="27" t="s">
        <v>94</v>
      </c>
      <c r="I1611" s="27" t="s">
        <v>49</v>
      </c>
      <c r="J1611" s="27" t="s">
        <v>88</v>
      </c>
      <c r="K1611" s="27" t="s">
        <v>73</v>
      </c>
      <c r="L1611" s="31" t="s">
        <v>809</v>
      </c>
      <c r="M1611" s="32">
        <v>0.4</v>
      </c>
      <c r="N1611" s="27" t="s">
        <v>33</v>
      </c>
      <c r="O1611" s="27" t="s">
        <v>111</v>
      </c>
      <c r="P1611" s="27" t="s">
        <v>403</v>
      </c>
      <c r="Q1611" s="27" t="s">
        <v>788</v>
      </c>
      <c r="R1611" s="33">
        <v>2113</v>
      </c>
      <c r="S1611" s="34">
        <v>42152</v>
      </c>
      <c r="T1611" s="34">
        <v>42153</v>
      </c>
      <c r="U1611" s="29">
        <v>-23.5</v>
      </c>
      <c r="V1611" s="26">
        <v>16</v>
      </c>
      <c r="W1611" s="29">
        <v>107.08</v>
      </c>
      <c r="X1611" s="26">
        <v>56486</v>
      </c>
      <c r="Y1611" s="35">
        <v>60.9</v>
      </c>
      <c r="Z1611" s="1" t="s">
        <v>3014</v>
      </c>
      <c r="AA1611" s="36">
        <v>2.8704000000000001</v>
      </c>
      <c r="AB1611" s="54">
        <v>64.24799999999999</v>
      </c>
      <c r="AC1611" s="54">
        <v>2.677</v>
      </c>
      <c r="AD1611" s="36">
        <v>122.3596</v>
      </c>
    </row>
    <row r="1612" spans="1:30" s="37" customFormat="1" ht="15.75" customHeight="1" x14ac:dyDescent="0.2">
      <c r="A1612" s="26">
        <v>2709</v>
      </c>
      <c r="B1612" s="27" t="s">
        <v>2704</v>
      </c>
      <c r="C1612" s="27" t="s">
        <v>116</v>
      </c>
      <c r="D1612" s="28">
        <v>7.0000000000000007E-2</v>
      </c>
      <c r="E1612" s="29">
        <v>60.97</v>
      </c>
      <c r="F1612" s="29">
        <v>4.5</v>
      </c>
      <c r="G1612" s="30" t="s">
        <v>39</v>
      </c>
      <c r="H1612" s="27" t="s">
        <v>40</v>
      </c>
      <c r="I1612" s="27" t="s">
        <v>49</v>
      </c>
      <c r="J1612" s="27" t="s">
        <v>95</v>
      </c>
      <c r="K1612" s="27" t="s">
        <v>73</v>
      </c>
      <c r="L1612" s="31" t="s">
        <v>96</v>
      </c>
      <c r="M1612" s="32">
        <v>0.56000000000000005</v>
      </c>
      <c r="N1612" s="27" t="s">
        <v>33</v>
      </c>
      <c r="O1612" s="27" t="s">
        <v>111</v>
      </c>
      <c r="P1612" s="27" t="s">
        <v>418</v>
      </c>
      <c r="Q1612" s="27" t="s">
        <v>2705</v>
      </c>
      <c r="R1612" s="33">
        <v>21042</v>
      </c>
      <c r="S1612" s="34">
        <v>42152</v>
      </c>
      <c r="T1612" s="34">
        <v>42154</v>
      </c>
      <c r="U1612" s="29">
        <v>-41.77</v>
      </c>
      <c r="V1612" s="26">
        <v>1</v>
      </c>
      <c r="W1612" s="29">
        <v>57.84</v>
      </c>
      <c r="X1612" s="26">
        <v>89240</v>
      </c>
      <c r="Y1612" s="35">
        <v>90.98</v>
      </c>
      <c r="Z1612" s="1" t="s">
        <v>3014</v>
      </c>
      <c r="AA1612" s="36">
        <v>4.2679</v>
      </c>
      <c r="AB1612" s="54">
        <v>25.449599999999997</v>
      </c>
      <c r="AC1612" s="54">
        <v>32.390400000000007</v>
      </c>
      <c r="AD1612" s="36">
        <v>90.842100000000016</v>
      </c>
    </row>
    <row r="1613" spans="1:30" s="37" customFormat="1" ht="15.75" customHeight="1" x14ac:dyDescent="0.2">
      <c r="A1613" s="26">
        <v>2765</v>
      </c>
      <c r="B1613" s="27" t="s">
        <v>2701</v>
      </c>
      <c r="C1613" s="27" t="s">
        <v>48</v>
      </c>
      <c r="D1613" s="28">
        <v>0.03</v>
      </c>
      <c r="E1613" s="29">
        <v>5.85</v>
      </c>
      <c r="F1613" s="29">
        <v>2.27</v>
      </c>
      <c r="G1613" s="30" t="s">
        <v>39</v>
      </c>
      <c r="H1613" s="27" t="s">
        <v>94</v>
      </c>
      <c r="I1613" s="27" t="s">
        <v>49</v>
      </c>
      <c r="J1613" s="27" t="s">
        <v>50</v>
      </c>
      <c r="K1613" s="27" t="s">
        <v>51</v>
      </c>
      <c r="L1613" s="31" t="s">
        <v>2702</v>
      </c>
      <c r="M1613" s="32">
        <v>0.56000000000000005</v>
      </c>
      <c r="N1613" s="27" t="s">
        <v>33</v>
      </c>
      <c r="O1613" s="27" t="s">
        <v>111</v>
      </c>
      <c r="P1613" s="27" t="s">
        <v>397</v>
      </c>
      <c r="Q1613" s="27" t="s">
        <v>2703</v>
      </c>
      <c r="R1613" s="33">
        <v>8021</v>
      </c>
      <c r="S1613" s="34">
        <v>42152</v>
      </c>
      <c r="T1613" s="34">
        <v>42154</v>
      </c>
      <c r="U1613" s="29">
        <v>-5.08</v>
      </c>
      <c r="V1613" s="26">
        <v>7</v>
      </c>
      <c r="W1613" s="29">
        <v>41.4</v>
      </c>
      <c r="X1613" s="26">
        <v>90725</v>
      </c>
      <c r="Y1613" s="35">
        <v>35.39</v>
      </c>
      <c r="Z1613" s="1" t="s">
        <v>3014</v>
      </c>
      <c r="AA1613" s="36">
        <v>1.2284999999999999</v>
      </c>
      <c r="AB1613" s="54">
        <v>18.215999999999998</v>
      </c>
      <c r="AC1613" s="54">
        <v>3.3119999999999998</v>
      </c>
      <c r="AD1613" s="36">
        <v>42.981499999999997</v>
      </c>
    </row>
    <row r="1614" spans="1:30" s="37" customFormat="1" ht="15.75" customHeight="1" x14ac:dyDescent="0.2">
      <c r="A1614" s="26">
        <v>2670</v>
      </c>
      <c r="B1614" s="27" t="s">
        <v>2710</v>
      </c>
      <c r="C1614" s="27" t="s">
        <v>38</v>
      </c>
      <c r="D1614" s="28">
        <v>0.05</v>
      </c>
      <c r="E1614" s="29">
        <v>165.2</v>
      </c>
      <c r="F1614" s="29">
        <v>19.989999999999998</v>
      </c>
      <c r="G1614" s="30" t="s">
        <v>39</v>
      </c>
      <c r="H1614" s="27" t="s">
        <v>71</v>
      </c>
      <c r="I1614" s="27" t="s">
        <v>49</v>
      </c>
      <c r="J1614" s="27" t="s">
        <v>78</v>
      </c>
      <c r="K1614" s="27" t="s">
        <v>73</v>
      </c>
      <c r="L1614" s="31" t="s">
        <v>483</v>
      </c>
      <c r="M1614" s="32">
        <v>0.59</v>
      </c>
      <c r="N1614" s="27" t="s">
        <v>33</v>
      </c>
      <c r="O1614" s="27" t="s">
        <v>60</v>
      </c>
      <c r="P1614" s="27" t="s">
        <v>90</v>
      </c>
      <c r="Q1614" s="27" t="s">
        <v>100</v>
      </c>
      <c r="R1614" s="33">
        <v>90049</v>
      </c>
      <c r="S1614" s="34">
        <v>42153</v>
      </c>
      <c r="T1614" s="34">
        <v>42153</v>
      </c>
      <c r="U1614" s="29">
        <v>2008.71</v>
      </c>
      <c r="V1614" s="26">
        <v>167</v>
      </c>
      <c r="W1614" s="29">
        <v>27587.55</v>
      </c>
      <c r="X1614" s="26">
        <v>37924</v>
      </c>
      <c r="Y1614" s="35">
        <v>14.56</v>
      </c>
      <c r="Z1614" s="1" t="s">
        <v>3013</v>
      </c>
      <c r="AA1614" s="36">
        <v>1379.42</v>
      </c>
      <c r="AB1614" s="54">
        <v>11310.895500000001</v>
      </c>
      <c r="AC1614" s="54">
        <v>97.46499700598801</v>
      </c>
      <c r="AD1614" s="36">
        <v>24179.43</v>
      </c>
    </row>
    <row r="1615" spans="1:30" s="37" customFormat="1" ht="15.75" customHeight="1" x14ac:dyDescent="0.2">
      <c r="A1615" s="26">
        <v>2671</v>
      </c>
      <c r="B1615" s="27" t="s">
        <v>2712</v>
      </c>
      <c r="C1615" s="27" t="s">
        <v>38</v>
      </c>
      <c r="D1615" s="28">
        <v>0.05</v>
      </c>
      <c r="E1615" s="29">
        <v>165.2</v>
      </c>
      <c r="F1615" s="29">
        <v>19.989999999999998</v>
      </c>
      <c r="G1615" s="30" t="s">
        <v>39</v>
      </c>
      <c r="H1615" s="27" t="s">
        <v>71</v>
      </c>
      <c r="I1615" s="27" t="s">
        <v>49</v>
      </c>
      <c r="J1615" s="27" t="s">
        <v>78</v>
      </c>
      <c r="K1615" s="27" t="s">
        <v>73</v>
      </c>
      <c r="L1615" s="31" t="s">
        <v>483</v>
      </c>
      <c r="M1615" s="32">
        <v>0.59</v>
      </c>
      <c r="N1615" s="27" t="s">
        <v>33</v>
      </c>
      <c r="O1615" s="27" t="s">
        <v>34</v>
      </c>
      <c r="P1615" s="27" t="s">
        <v>400</v>
      </c>
      <c r="Q1615" s="27" t="s">
        <v>1736</v>
      </c>
      <c r="R1615" s="33">
        <v>37027</v>
      </c>
      <c r="S1615" s="34">
        <v>42153</v>
      </c>
      <c r="T1615" s="34">
        <v>42153</v>
      </c>
      <c r="U1615" s="29">
        <v>-48.957999999999998</v>
      </c>
      <c r="V1615" s="26">
        <v>42</v>
      </c>
      <c r="W1615" s="29">
        <v>6938.19</v>
      </c>
      <c r="X1615" s="26">
        <v>90551</v>
      </c>
      <c r="Y1615" s="35">
        <v>5.8800000000000008</v>
      </c>
      <c r="Z1615" s="1" t="s">
        <v>3011</v>
      </c>
      <c r="AA1615" s="36">
        <v>346.92</v>
      </c>
      <c r="AB1615" s="54">
        <v>2844.6579000000002</v>
      </c>
      <c r="AC1615" s="54">
        <v>97.465049999999991</v>
      </c>
      <c r="AD1615" s="36">
        <v>6620.2379999999994</v>
      </c>
    </row>
    <row r="1616" spans="1:30" s="37" customFormat="1" ht="15.75" customHeight="1" x14ac:dyDescent="0.2">
      <c r="A1616" s="26">
        <v>2670</v>
      </c>
      <c r="B1616" s="27" t="s">
        <v>2710</v>
      </c>
      <c r="C1616" s="27" t="s">
        <v>38</v>
      </c>
      <c r="D1616" s="28">
        <v>0.09</v>
      </c>
      <c r="E1616" s="29">
        <v>17.989999999999998</v>
      </c>
      <c r="F1616" s="29">
        <v>8.65</v>
      </c>
      <c r="G1616" s="30" t="s">
        <v>39</v>
      </c>
      <c r="H1616" s="27" t="s">
        <v>71</v>
      </c>
      <c r="I1616" s="27" t="s">
        <v>49</v>
      </c>
      <c r="J1616" s="27" t="s">
        <v>50</v>
      </c>
      <c r="K1616" s="27" t="s">
        <v>73</v>
      </c>
      <c r="L1616" s="31" t="s">
        <v>2711</v>
      </c>
      <c r="M1616" s="32">
        <v>0.56999999999999995</v>
      </c>
      <c r="N1616" s="27" t="s">
        <v>33</v>
      </c>
      <c r="O1616" s="27" t="s">
        <v>60</v>
      </c>
      <c r="P1616" s="27" t="s">
        <v>90</v>
      </c>
      <c r="Q1616" s="27" t="s">
        <v>100</v>
      </c>
      <c r="R1616" s="33">
        <v>90049</v>
      </c>
      <c r="S1616" s="34">
        <v>42153</v>
      </c>
      <c r="T1616" s="34">
        <v>42153</v>
      </c>
      <c r="U1616" s="29">
        <v>-80.53</v>
      </c>
      <c r="V1616" s="26">
        <v>71</v>
      </c>
      <c r="W1616" s="29">
        <v>1191.58</v>
      </c>
      <c r="X1616" s="26">
        <v>37924</v>
      </c>
      <c r="Y1616" s="35">
        <v>2.54</v>
      </c>
      <c r="Z1616" s="1" t="s">
        <v>3013</v>
      </c>
      <c r="AA1616" s="36">
        <v>114.95609999999998</v>
      </c>
      <c r="AB1616" s="54">
        <v>512.37940000000003</v>
      </c>
      <c r="AC1616" s="54">
        <v>9.5662056338028147</v>
      </c>
      <c r="AD1616" s="36">
        <v>1148.5038999999999</v>
      </c>
    </row>
    <row r="1617" spans="1:30" s="37" customFormat="1" ht="15.75" customHeight="1" x14ac:dyDescent="0.2">
      <c r="A1617" s="26">
        <v>1713</v>
      </c>
      <c r="B1617" s="27" t="s">
        <v>2708</v>
      </c>
      <c r="C1617" s="27" t="s">
        <v>38</v>
      </c>
      <c r="D1617" s="28">
        <v>0.01</v>
      </c>
      <c r="E1617" s="29">
        <v>23.99</v>
      </c>
      <c r="F1617" s="29">
        <v>6.3</v>
      </c>
      <c r="G1617" s="30" t="s">
        <v>39</v>
      </c>
      <c r="H1617" s="27" t="s">
        <v>94</v>
      </c>
      <c r="I1617" s="27" t="s">
        <v>41</v>
      </c>
      <c r="J1617" s="27" t="s">
        <v>57</v>
      </c>
      <c r="K1617" s="27" t="s">
        <v>144</v>
      </c>
      <c r="L1617" s="31" t="s">
        <v>2709</v>
      </c>
      <c r="M1617" s="32">
        <v>0.38</v>
      </c>
      <c r="N1617" s="27" t="s">
        <v>33</v>
      </c>
      <c r="O1617" s="27" t="s">
        <v>34</v>
      </c>
      <c r="P1617" s="27" t="s">
        <v>75</v>
      </c>
      <c r="Q1617" s="27" t="s">
        <v>1867</v>
      </c>
      <c r="R1617" s="33">
        <v>30265</v>
      </c>
      <c r="S1617" s="34">
        <v>42153</v>
      </c>
      <c r="T1617" s="34">
        <v>42155</v>
      </c>
      <c r="U1617" s="29">
        <v>-6.202</v>
      </c>
      <c r="V1617" s="26">
        <v>11</v>
      </c>
      <c r="W1617" s="29">
        <v>284.39</v>
      </c>
      <c r="X1617" s="26">
        <v>87748</v>
      </c>
      <c r="Y1617" s="35">
        <v>23.979999999999997</v>
      </c>
      <c r="Z1617" s="1" t="s">
        <v>3011</v>
      </c>
      <c r="AA1617" s="36">
        <v>2.6389</v>
      </c>
      <c r="AB1617" s="54">
        <v>176.3218</v>
      </c>
      <c r="AC1617" s="54">
        <v>9.8243818181818181</v>
      </c>
      <c r="AD1617" s="36">
        <v>281.65309999999999</v>
      </c>
    </row>
    <row r="1618" spans="1:30" s="37" customFormat="1" ht="15.75" customHeight="1" x14ac:dyDescent="0.2">
      <c r="A1618" s="26">
        <v>663</v>
      </c>
      <c r="B1618" s="27" t="s">
        <v>2706</v>
      </c>
      <c r="C1618" s="27" t="s">
        <v>26</v>
      </c>
      <c r="D1618" s="28">
        <v>0.02</v>
      </c>
      <c r="E1618" s="29">
        <v>14.58</v>
      </c>
      <c r="F1618" s="29">
        <v>7.4</v>
      </c>
      <c r="G1618" s="30" t="s">
        <v>39</v>
      </c>
      <c r="H1618" s="27" t="s">
        <v>71</v>
      </c>
      <c r="I1618" s="27" t="s">
        <v>29</v>
      </c>
      <c r="J1618" s="27" t="s">
        <v>126</v>
      </c>
      <c r="K1618" s="27" t="s">
        <v>73</v>
      </c>
      <c r="L1618" s="31" t="s">
        <v>2707</v>
      </c>
      <c r="M1618" s="32">
        <v>0.48</v>
      </c>
      <c r="N1618" s="27" t="s">
        <v>33</v>
      </c>
      <c r="O1618" s="27" t="s">
        <v>111</v>
      </c>
      <c r="P1618" s="27" t="s">
        <v>317</v>
      </c>
      <c r="Q1618" s="27" t="s">
        <v>2254</v>
      </c>
      <c r="R1618" s="33">
        <v>43952</v>
      </c>
      <c r="S1618" s="34">
        <v>42153</v>
      </c>
      <c r="T1618" s="34">
        <v>42156</v>
      </c>
      <c r="U1618" s="29">
        <v>10.802</v>
      </c>
      <c r="V1618" s="26">
        <v>17</v>
      </c>
      <c r="W1618" s="29">
        <v>261.33999999999997</v>
      </c>
      <c r="X1618" s="26">
        <v>90922</v>
      </c>
      <c r="Y1618" s="35">
        <v>165.14999999999998</v>
      </c>
      <c r="Z1618" s="1" t="s">
        <v>3014</v>
      </c>
      <c r="AA1618" s="36">
        <v>4.9572000000000003</v>
      </c>
      <c r="AB1618" s="54">
        <v>135.89679999999998</v>
      </c>
      <c r="AC1618" s="54">
        <v>7.379011764705881</v>
      </c>
      <c r="AD1618" s="36">
        <v>238.18079999999998</v>
      </c>
    </row>
    <row r="1619" spans="1:30" s="37" customFormat="1" ht="15.75" customHeight="1" x14ac:dyDescent="0.2">
      <c r="A1619" s="26">
        <v>649</v>
      </c>
      <c r="B1619" s="27" t="s">
        <v>2715</v>
      </c>
      <c r="C1619" s="27" t="s">
        <v>116</v>
      </c>
      <c r="D1619" s="28">
        <v>0.02</v>
      </c>
      <c r="E1619" s="29">
        <v>3.78</v>
      </c>
      <c r="F1619" s="29">
        <v>0.71</v>
      </c>
      <c r="G1619" s="30" t="s">
        <v>39</v>
      </c>
      <c r="H1619" s="27" t="s">
        <v>71</v>
      </c>
      <c r="I1619" s="27" t="s">
        <v>49</v>
      </c>
      <c r="J1619" s="27" t="s">
        <v>176</v>
      </c>
      <c r="K1619" s="27" t="s">
        <v>51</v>
      </c>
      <c r="L1619" s="31" t="s">
        <v>2716</v>
      </c>
      <c r="M1619" s="32">
        <v>0.39</v>
      </c>
      <c r="N1619" s="27" t="s">
        <v>33</v>
      </c>
      <c r="O1619" s="27" t="s">
        <v>53</v>
      </c>
      <c r="P1619" s="27" t="s">
        <v>103</v>
      </c>
      <c r="Q1619" s="27" t="s">
        <v>1399</v>
      </c>
      <c r="R1619" s="33">
        <v>60089</v>
      </c>
      <c r="S1619" s="34">
        <v>42153</v>
      </c>
      <c r="T1619" s="34">
        <v>42154</v>
      </c>
      <c r="U1619" s="29">
        <v>106.7499</v>
      </c>
      <c r="V1619" s="26">
        <v>40</v>
      </c>
      <c r="W1619" s="29">
        <v>154.71</v>
      </c>
      <c r="X1619" s="26">
        <v>91366</v>
      </c>
      <c r="Y1619" s="35">
        <v>17.899999999999999</v>
      </c>
      <c r="Z1619" s="1" t="s">
        <v>3012</v>
      </c>
      <c r="AA1619" s="36">
        <v>3.024</v>
      </c>
      <c r="AB1619" s="54">
        <v>94.373100000000008</v>
      </c>
      <c r="AC1619" s="54">
        <v>1.5084225</v>
      </c>
      <c r="AD1619" s="36">
        <v>44.226100000000017</v>
      </c>
    </row>
    <row r="1620" spans="1:30" s="37" customFormat="1" ht="15.75" customHeight="1" x14ac:dyDescent="0.2">
      <c r="A1620" s="26">
        <v>1026</v>
      </c>
      <c r="B1620" s="27" t="s">
        <v>1055</v>
      </c>
      <c r="C1620" s="27" t="s">
        <v>38</v>
      </c>
      <c r="D1620" s="28">
        <v>0.1</v>
      </c>
      <c r="E1620" s="29">
        <v>5.98</v>
      </c>
      <c r="F1620" s="29">
        <v>3.85</v>
      </c>
      <c r="G1620" s="30" t="s">
        <v>39</v>
      </c>
      <c r="H1620" s="27" t="s">
        <v>3095</v>
      </c>
      <c r="I1620" s="27" t="s">
        <v>41</v>
      </c>
      <c r="J1620" s="27" t="s">
        <v>42</v>
      </c>
      <c r="K1620" s="27" t="s">
        <v>43</v>
      </c>
      <c r="L1620" s="31" t="s">
        <v>1098</v>
      </c>
      <c r="M1620" s="32">
        <v>0.68</v>
      </c>
      <c r="N1620" s="27" t="s">
        <v>33</v>
      </c>
      <c r="O1620" s="27" t="s">
        <v>111</v>
      </c>
      <c r="P1620" s="27" t="s">
        <v>112</v>
      </c>
      <c r="Q1620" s="27" t="s">
        <v>1057</v>
      </c>
      <c r="R1620" s="33">
        <v>11722</v>
      </c>
      <c r="S1620" s="34">
        <v>42153</v>
      </c>
      <c r="T1620" s="34">
        <v>42154</v>
      </c>
      <c r="U1620" s="29">
        <v>18.922000000000001</v>
      </c>
      <c r="V1620" s="26">
        <v>26</v>
      </c>
      <c r="W1620" s="29">
        <v>151.55000000000001</v>
      </c>
      <c r="X1620" s="26">
        <v>89008</v>
      </c>
      <c r="Y1620" s="35">
        <v>165.14999999999998</v>
      </c>
      <c r="Z1620" s="1" t="s">
        <v>3014</v>
      </c>
      <c r="AA1620" s="36">
        <v>15.548000000000002</v>
      </c>
      <c r="AB1620" s="54">
        <v>48.495999999999995</v>
      </c>
      <c r="AC1620" s="54">
        <v>3.9636153846153852</v>
      </c>
      <c r="AD1620" s="36">
        <v>113.23</v>
      </c>
    </row>
    <row r="1621" spans="1:30" s="37" customFormat="1" ht="15.75" customHeight="1" x14ac:dyDescent="0.2">
      <c r="A1621" s="26">
        <v>759</v>
      </c>
      <c r="B1621" s="27" t="s">
        <v>2713</v>
      </c>
      <c r="C1621" s="27" t="s">
        <v>48</v>
      </c>
      <c r="D1621" s="28">
        <v>0</v>
      </c>
      <c r="E1621" s="29">
        <v>20.99</v>
      </c>
      <c r="F1621" s="29">
        <v>3.3</v>
      </c>
      <c r="G1621" s="30" t="s">
        <v>39</v>
      </c>
      <c r="H1621" s="27" t="s">
        <v>3095</v>
      </c>
      <c r="I1621" s="27" t="s">
        <v>41</v>
      </c>
      <c r="J1621" s="27" t="s">
        <v>135</v>
      </c>
      <c r="K1621" s="27" t="s">
        <v>43</v>
      </c>
      <c r="L1621" s="31" t="s">
        <v>1583</v>
      </c>
      <c r="M1621" s="32">
        <v>0.81</v>
      </c>
      <c r="N1621" s="27" t="s">
        <v>33</v>
      </c>
      <c r="O1621" s="27" t="s">
        <v>53</v>
      </c>
      <c r="P1621" s="27" t="s">
        <v>103</v>
      </c>
      <c r="Q1621" s="27" t="s">
        <v>2714</v>
      </c>
      <c r="R1621" s="33">
        <v>62301</v>
      </c>
      <c r="S1621" s="34">
        <v>42153</v>
      </c>
      <c r="T1621" s="34">
        <v>42160</v>
      </c>
      <c r="U1621" s="29">
        <v>-92.960999999999999</v>
      </c>
      <c r="V1621" s="26">
        <v>5</v>
      </c>
      <c r="W1621" s="29">
        <v>92.96</v>
      </c>
      <c r="X1621" s="26">
        <v>86639</v>
      </c>
      <c r="Y1621" s="35">
        <v>20.99</v>
      </c>
      <c r="Z1621" s="1" t="s">
        <v>3012</v>
      </c>
      <c r="AA1621" s="36">
        <v>0</v>
      </c>
      <c r="AB1621" s="54">
        <v>17.662399999999995</v>
      </c>
      <c r="AC1621" s="54">
        <v>15.059519999999999</v>
      </c>
      <c r="AD1621" s="36">
        <v>182.62099999999998</v>
      </c>
    </row>
    <row r="1622" spans="1:30" s="37" customFormat="1" ht="15.75" customHeight="1" x14ac:dyDescent="0.2">
      <c r="A1622" s="26">
        <v>1026</v>
      </c>
      <c r="B1622" s="27" t="s">
        <v>1055</v>
      </c>
      <c r="C1622" s="27" t="s">
        <v>38</v>
      </c>
      <c r="D1622" s="28">
        <v>7.0000000000000007E-2</v>
      </c>
      <c r="E1622" s="29">
        <v>2.61</v>
      </c>
      <c r="F1622" s="29">
        <v>0.5</v>
      </c>
      <c r="G1622" s="30" t="s">
        <v>39</v>
      </c>
      <c r="H1622" s="27" t="s">
        <v>3095</v>
      </c>
      <c r="I1622" s="27" t="s">
        <v>49</v>
      </c>
      <c r="J1622" s="27" t="s">
        <v>152</v>
      </c>
      <c r="K1622" s="27" t="s">
        <v>73</v>
      </c>
      <c r="L1622" s="31" t="s">
        <v>1367</v>
      </c>
      <c r="M1622" s="32">
        <v>0.39</v>
      </c>
      <c r="N1622" s="27" t="s">
        <v>33</v>
      </c>
      <c r="O1622" s="27" t="s">
        <v>111</v>
      </c>
      <c r="P1622" s="27" t="s">
        <v>112</v>
      </c>
      <c r="Q1622" s="27" t="s">
        <v>1057</v>
      </c>
      <c r="R1622" s="33">
        <v>11722</v>
      </c>
      <c r="S1622" s="34">
        <v>42153</v>
      </c>
      <c r="T1622" s="34">
        <v>42156</v>
      </c>
      <c r="U1622" s="29">
        <v>39.350700000000003</v>
      </c>
      <c r="V1622" s="26">
        <v>22</v>
      </c>
      <c r="W1622" s="29">
        <v>57.03</v>
      </c>
      <c r="X1622" s="26">
        <v>89008</v>
      </c>
      <c r="Y1622" s="35">
        <v>3.76</v>
      </c>
      <c r="Z1622" s="1" t="s">
        <v>3014</v>
      </c>
      <c r="AA1622" s="36">
        <v>4.0194000000000001</v>
      </c>
      <c r="AB1622" s="54">
        <v>34.7883</v>
      </c>
      <c r="AC1622" s="54">
        <v>1.0109863636363636</v>
      </c>
      <c r="AD1622" s="36">
        <v>13.1599</v>
      </c>
    </row>
    <row r="1623" spans="1:30" s="37" customFormat="1" ht="15.75" customHeight="1" x14ac:dyDescent="0.2">
      <c r="A1623" s="26">
        <v>2393</v>
      </c>
      <c r="B1623" s="27" t="s">
        <v>193</v>
      </c>
      <c r="C1623" s="27" t="s">
        <v>116</v>
      </c>
      <c r="D1623" s="28">
        <v>0.02</v>
      </c>
      <c r="E1623" s="29">
        <v>6.48</v>
      </c>
      <c r="F1623" s="29">
        <v>7.91</v>
      </c>
      <c r="G1623" s="30" t="s">
        <v>39</v>
      </c>
      <c r="H1623" s="27" t="s">
        <v>94</v>
      </c>
      <c r="I1623" s="27" t="s">
        <v>49</v>
      </c>
      <c r="J1623" s="27" t="s">
        <v>88</v>
      </c>
      <c r="K1623" s="27" t="s">
        <v>73</v>
      </c>
      <c r="L1623" s="31" t="s">
        <v>1620</v>
      </c>
      <c r="M1623" s="32">
        <v>0.37</v>
      </c>
      <c r="N1623" s="27" t="s">
        <v>33</v>
      </c>
      <c r="O1623" s="27" t="s">
        <v>34</v>
      </c>
      <c r="P1623" s="27" t="s">
        <v>75</v>
      </c>
      <c r="Q1623" s="27" t="s">
        <v>195</v>
      </c>
      <c r="R1623" s="33">
        <v>30076</v>
      </c>
      <c r="S1623" s="34">
        <v>42153</v>
      </c>
      <c r="T1623" s="34">
        <v>42155</v>
      </c>
      <c r="U1623" s="29">
        <v>-1191.5260000000001</v>
      </c>
      <c r="V1623" s="26">
        <v>2</v>
      </c>
      <c r="W1623" s="29">
        <v>16.5</v>
      </c>
      <c r="X1623" s="26">
        <v>86950</v>
      </c>
      <c r="Y1623" s="35">
        <v>6.4600000000000009</v>
      </c>
      <c r="Z1623" s="1" t="s">
        <v>3011</v>
      </c>
      <c r="AA1623" s="36">
        <v>0.25920000000000004</v>
      </c>
      <c r="AB1623" s="54">
        <v>10.395</v>
      </c>
      <c r="AC1623" s="54">
        <v>3.0524999999999998</v>
      </c>
      <c r="AD1623" s="36">
        <v>1199.8568</v>
      </c>
    </row>
    <row r="1624" spans="1:30" s="37" customFormat="1" ht="15.75" customHeight="1" x14ac:dyDescent="0.2">
      <c r="A1624" s="26">
        <v>1935</v>
      </c>
      <c r="B1624" s="27" t="s">
        <v>2074</v>
      </c>
      <c r="C1624" s="27" t="s">
        <v>48</v>
      </c>
      <c r="D1624" s="28">
        <v>0.01</v>
      </c>
      <c r="E1624" s="29">
        <v>110.98</v>
      </c>
      <c r="F1624" s="29">
        <v>13.99</v>
      </c>
      <c r="G1624" s="30" t="s">
        <v>39</v>
      </c>
      <c r="H1624" s="27" t="s">
        <v>71</v>
      </c>
      <c r="I1624" s="27" t="s">
        <v>29</v>
      </c>
      <c r="J1624" s="27" t="s">
        <v>126</v>
      </c>
      <c r="K1624" s="27" t="s">
        <v>144</v>
      </c>
      <c r="L1624" s="31" t="s">
        <v>545</v>
      </c>
      <c r="M1624" s="32">
        <v>0.69</v>
      </c>
      <c r="N1624" s="27" t="s">
        <v>33</v>
      </c>
      <c r="O1624" s="27" t="s">
        <v>53</v>
      </c>
      <c r="P1624" s="27" t="s">
        <v>187</v>
      </c>
      <c r="Q1624" s="27" t="s">
        <v>2075</v>
      </c>
      <c r="R1624" s="33">
        <v>75051</v>
      </c>
      <c r="S1624" s="34">
        <v>42154</v>
      </c>
      <c r="T1624" s="34">
        <v>42159</v>
      </c>
      <c r="U1624" s="29">
        <v>1448.7309</v>
      </c>
      <c r="V1624" s="26">
        <v>19</v>
      </c>
      <c r="W1624" s="29">
        <v>2099.61</v>
      </c>
      <c r="X1624" s="26">
        <v>86688</v>
      </c>
      <c r="Y1624" s="35">
        <v>6.2299999999999995</v>
      </c>
      <c r="Z1624" s="1" t="s">
        <v>3012</v>
      </c>
      <c r="AA1624" s="36">
        <v>21.086200000000002</v>
      </c>
      <c r="AB1624" s="54">
        <v>650.87910000000011</v>
      </c>
      <c r="AC1624" s="54">
        <v>76.248994736842107</v>
      </c>
      <c r="AD1624" s="36">
        <v>615.80290000000014</v>
      </c>
    </row>
    <row r="1625" spans="1:30" s="37" customFormat="1" ht="15.75" customHeight="1" x14ac:dyDescent="0.2">
      <c r="A1625" s="26">
        <v>3124</v>
      </c>
      <c r="B1625" s="27" t="s">
        <v>2720</v>
      </c>
      <c r="C1625" s="27" t="s">
        <v>3094</v>
      </c>
      <c r="D1625" s="28">
        <v>0.05</v>
      </c>
      <c r="E1625" s="29">
        <v>120.98</v>
      </c>
      <c r="F1625" s="29">
        <v>9.07</v>
      </c>
      <c r="G1625" s="30" t="s">
        <v>39</v>
      </c>
      <c r="H1625" s="27" t="s">
        <v>71</v>
      </c>
      <c r="I1625" s="27" t="s">
        <v>49</v>
      </c>
      <c r="J1625" s="27" t="s">
        <v>72</v>
      </c>
      <c r="K1625" s="27" t="s">
        <v>73</v>
      </c>
      <c r="L1625" s="31" t="s">
        <v>1423</v>
      </c>
      <c r="M1625" s="32">
        <v>0.35</v>
      </c>
      <c r="N1625" s="27" t="s">
        <v>33</v>
      </c>
      <c r="O1625" s="27" t="s">
        <v>53</v>
      </c>
      <c r="P1625" s="27" t="s">
        <v>103</v>
      </c>
      <c r="Q1625" s="27" t="s">
        <v>2721</v>
      </c>
      <c r="R1625" s="33">
        <v>61265</v>
      </c>
      <c r="S1625" s="34">
        <v>42154</v>
      </c>
      <c r="T1625" s="34">
        <v>42155</v>
      </c>
      <c r="U1625" s="29">
        <v>881.04719999999998</v>
      </c>
      <c r="V1625" s="26">
        <v>11</v>
      </c>
      <c r="W1625" s="29">
        <v>1276.8800000000001</v>
      </c>
      <c r="X1625" s="26">
        <v>87286</v>
      </c>
      <c r="Y1625" s="35">
        <v>22.34</v>
      </c>
      <c r="Z1625" s="1" t="s">
        <v>3012</v>
      </c>
      <c r="AA1625" s="36">
        <v>66.539000000000001</v>
      </c>
      <c r="AB1625" s="54">
        <v>829.97200000000009</v>
      </c>
      <c r="AC1625" s="54">
        <v>40.628</v>
      </c>
      <c r="AD1625" s="36">
        <v>320.2238000000001</v>
      </c>
    </row>
    <row r="1626" spans="1:30" s="37" customFormat="1" ht="15.75" customHeight="1" x14ac:dyDescent="0.2">
      <c r="A1626" s="26">
        <v>1934</v>
      </c>
      <c r="B1626" s="27" t="s">
        <v>2718</v>
      </c>
      <c r="C1626" s="27" t="s">
        <v>48</v>
      </c>
      <c r="D1626" s="28">
        <v>0.04</v>
      </c>
      <c r="E1626" s="29">
        <v>180.98</v>
      </c>
      <c r="F1626" s="29">
        <v>30</v>
      </c>
      <c r="G1626" s="30" t="s">
        <v>27</v>
      </c>
      <c r="H1626" s="27" t="s">
        <v>71</v>
      </c>
      <c r="I1626" s="27" t="s">
        <v>29</v>
      </c>
      <c r="J1626" s="27" t="s">
        <v>109</v>
      </c>
      <c r="K1626" s="27" t="s">
        <v>58</v>
      </c>
      <c r="L1626" s="31" t="s">
        <v>945</v>
      </c>
      <c r="M1626" s="32">
        <v>0.69</v>
      </c>
      <c r="N1626" s="27" t="s">
        <v>33</v>
      </c>
      <c r="O1626" s="27" t="s">
        <v>53</v>
      </c>
      <c r="P1626" s="27" t="s">
        <v>187</v>
      </c>
      <c r="Q1626" s="27" t="s">
        <v>1404</v>
      </c>
      <c r="R1626" s="33">
        <v>78626</v>
      </c>
      <c r="S1626" s="34">
        <v>42154</v>
      </c>
      <c r="T1626" s="34">
        <v>42154</v>
      </c>
      <c r="U1626" s="29">
        <v>52.988</v>
      </c>
      <c r="V1626" s="26">
        <v>3</v>
      </c>
      <c r="W1626" s="29">
        <v>561.65</v>
      </c>
      <c r="X1626" s="26">
        <v>86688</v>
      </c>
      <c r="Y1626" s="35">
        <v>17.720000000000002</v>
      </c>
      <c r="Z1626" s="1" t="s">
        <v>3012</v>
      </c>
      <c r="AA1626" s="36">
        <v>21.717599999999997</v>
      </c>
      <c r="AB1626" s="54">
        <v>174.11150000000004</v>
      </c>
      <c r="AC1626" s="54">
        <v>129.17949999999999</v>
      </c>
      <c r="AD1626" s="36">
        <v>456.94439999999997</v>
      </c>
    </row>
    <row r="1627" spans="1:30" s="37" customFormat="1" ht="15.75" customHeight="1" x14ac:dyDescent="0.2">
      <c r="A1627" s="26">
        <v>1062</v>
      </c>
      <c r="B1627" s="27" t="s">
        <v>1827</v>
      </c>
      <c r="C1627" s="27" t="s">
        <v>48</v>
      </c>
      <c r="D1627" s="28">
        <v>0.04</v>
      </c>
      <c r="E1627" s="29">
        <v>22.38</v>
      </c>
      <c r="F1627" s="29">
        <v>15.1</v>
      </c>
      <c r="G1627" s="30" t="s">
        <v>39</v>
      </c>
      <c r="H1627" s="27" t="s">
        <v>3095</v>
      </c>
      <c r="I1627" s="27" t="s">
        <v>49</v>
      </c>
      <c r="J1627" s="27" t="s">
        <v>72</v>
      </c>
      <c r="K1627" s="27" t="s">
        <v>73</v>
      </c>
      <c r="L1627" s="31" t="s">
        <v>1085</v>
      </c>
      <c r="M1627" s="32">
        <v>0.38</v>
      </c>
      <c r="N1627" s="27" t="s">
        <v>33</v>
      </c>
      <c r="O1627" s="27" t="s">
        <v>111</v>
      </c>
      <c r="P1627" s="27" t="s">
        <v>112</v>
      </c>
      <c r="Q1627" s="27" t="s">
        <v>1828</v>
      </c>
      <c r="R1627" s="33">
        <v>11727</v>
      </c>
      <c r="S1627" s="34">
        <v>42154</v>
      </c>
      <c r="T1627" s="34">
        <v>42162</v>
      </c>
      <c r="U1627" s="29">
        <v>16.021799999999999</v>
      </c>
      <c r="V1627" s="26">
        <v>18</v>
      </c>
      <c r="W1627" s="29">
        <v>403.53</v>
      </c>
      <c r="X1627" s="26">
        <v>91355</v>
      </c>
      <c r="Y1627" s="35">
        <v>180.94</v>
      </c>
      <c r="Z1627" s="1" t="s">
        <v>3014</v>
      </c>
      <c r="AA1627" s="36">
        <v>16.113599999999998</v>
      </c>
      <c r="AB1627" s="54">
        <v>250.18859999999998</v>
      </c>
      <c r="AC1627" s="54">
        <v>8.5189666666666675</v>
      </c>
      <c r="AD1627" s="36">
        <v>356.29459999999995</v>
      </c>
    </row>
    <row r="1628" spans="1:30" s="37" customFormat="1" ht="15.75" customHeight="1" x14ac:dyDescent="0.2">
      <c r="A1628" s="26">
        <v>1060</v>
      </c>
      <c r="B1628" s="27" t="s">
        <v>1825</v>
      </c>
      <c r="C1628" s="27" t="s">
        <v>48</v>
      </c>
      <c r="D1628" s="28">
        <v>7.0000000000000007E-2</v>
      </c>
      <c r="E1628" s="29">
        <v>6.3</v>
      </c>
      <c r="F1628" s="29">
        <v>0.5</v>
      </c>
      <c r="G1628" s="30" t="s">
        <v>39</v>
      </c>
      <c r="H1628" s="27" t="s">
        <v>3095</v>
      </c>
      <c r="I1628" s="27" t="s">
        <v>49</v>
      </c>
      <c r="J1628" s="27" t="s">
        <v>152</v>
      </c>
      <c r="K1628" s="27" t="s">
        <v>73</v>
      </c>
      <c r="L1628" s="31" t="s">
        <v>422</v>
      </c>
      <c r="M1628" s="32">
        <v>0.39</v>
      </c>
      <c r="N1628" s="27" t="s">
        <v>33</v>
      </c>
      <c r="O1628" s="27" t="s">
        <v>34</v>
      </c>
      <c r="P1628" s="27" t="s">
        <v>75</v>
      </c>
      <c r="Q1628" s="27" t="s">
        <v>361</v>
      </c>
      <c r="R1628" s="33">
        <v>30318</v>
      </c>
      <c r="S1628" s="34">
        <v>42154</v>
      </c>
      <c r="T1628" s="34">
        <v>42154</v>
      </c>
      <c r="U1628" s="29">
        <v>4.1673999999999998</v>
      </c>
      <c r="V1628" s="26">
        <v>20</v>
      </c>
      <c r="W1628" s="29">
        <v>121.87</v>
      </c>
      <c r="X1628" s="26">
        <v>57061</v>
      </c>
      <c r="Y1628" s="35">
        <v>3.19</v>
      </c>
      <c r="Z1628" s="1" t="s">
        <v>3011</v>
      </c>
      <c r="AA1628" s="36">
        <v>8.82</v>
      </c>
      <c r="AB1628" s="54">
        <v>74.340699999999998</v>
      </c>
      <c r="AC1628" s="54">
        <v>2.3764650000000005</v>
      </c>
      <c r="AD1628" s="36">
        <v>108.3826</v>
      </c>
    </row>
    <row r="1629" spans="1:30" s="37" customFormat="1" ht="15.75" customHeight="1" x14ac:dyDescent="0.2">
      <c r="A1629" s="26">
        <v>2980</v>
      </c>
      <c r="B1629" s="27" t="s">
        <v>821</v>
      </c>
      <c r="C1629" s="27" t="s">
        <v>48</v>
      </c>
      <c r="D1629" s="28">
        <v>0.04</v>
      </c>
      <c r="E1629" s="29">
        <v>2.88</v>
      </c>
      <c r="F1629" s="29">
        <v>1.01</v>
      </c>
      <c r="G1629" s="30" t="s">
        <v>39</v>
      </c>
      <c r="H1629" s="27" t="s">
        <v>94</v>
      </c>
      <c r="I1629" s="27" t="s">
        <v>49</v>
      </c>
      <c r="J1629" s="27" t="s">
        <v>50</v>
      </c>
      <c r="K1629" s="27" t="s">
        <v>51</v>
      </c>
      <c r="L1629" s="31" t="s">
        <v>991</v>
      </c>
      <c r="M1629" s="32">
        <v>0.55000000000000004</v>
      </c>
      <c r="N1629" s="27" t="s">
        <v>33</v>
      </c>
      <c r="O1629" s="27" t="s">
        <v>111</v>
      </c>
      <c r="P1629" s="27" t="s">
        <v>317</v>
      </c>
      <c r="Q1629" s="27" t="s">
        <v>823</v>
      </c>
      <c r="R1629" s="33">
        <v>44870</v>
      </c>
      <c r="S1629" s="34">
        <v>42154</v>
      </c>
      <c r="T1629" s="34">
        <v>42159</v>
      </c>
      <c r="U1629" s="29">
        <v>15.246</v>
      </c>
      <c r="V1629" s="26">
        <v>39</v>
      </c>
      <c r="W1629" s="29">
        <v>111.92</v>
      </c>
      <c r="X1629" s="26">
        <v>86548</v>
      </c>
      <c r="Y1629" s="35">
        <v>110.97</v>
      </c>
      <c r="Z1629" s="1" t="s">
        <v>3014</v>
      </c>
      <c r="AA1629" s="36">
        <v>4.4927999999999999</v>
      </c>
      <c r="AB1629" s="54">
        <v>50.363999999999997</v>
      </c>
      <c r="AC1629" s="54">
        <v>1.5783589743589745</v>
      </c>
      <c r="AD1629" s="36">
        <v>91.171199999999999</v>
      </c>
    </row>
    <row r="1630" spans="1:30" s="37" customFormat="1" ht="15.75" customHeight="1" x14ac:dyDescent="0.2">
      <c r="A1630" s="26">
        <v>1935</v>
      </c>
      <c r="B1630" s="27" t="s">
        <v>2074</v>
      </c>
      <c r="C1630" s="27" t="s">
        <v>48</v>
      </c>
      <c r="D1630" s="28">
        <v>0.05</v>
      </c>
      <c r="E1630" s="29">
        <v>3.95</v>
      </c>
      <c r="F1630" s="29">
        <v>2</v>
      </c>
      <c r="G1630" s="30" t="s">
        <v>87</v>
      </c>
      <c r="H1630" s="27" t="s">
        <v>71</v>
      </c>
      <c r="I1630" s="27" t="s">
        <v>49</v>
      </c>
      <c r="J1630" s="27" t="s">
        <v>176</v>
      </c>
      <c r="K1630" s="27" t="s">
        <v>51</v>
      </c>
      <c r="L1630" s="31" t="s">
        <v>1829</v>
      </c>
      <c r="M1630" s="32">
        <v>0.53</v>
      </c>
      <c r="N1630" s="27" t="s">
        <v>33</v>
      </c>
      <c r="O1630" s="27" t="s">
        <v>53</v>
      </c>
      <c r="P1630" s="27" t="s">
        <v>187</v>
      </c>
      <c r="Q1630" s="27" t="s">
        <v>2075</v>
      </c>
      <c r="R1630" s="33">
        <v>75051</v>
      </c>
      <c r="S1630" s="34">
        <v>42154</v>
      </c>
      <c r="T1630" s="34">
        <v>42162</v>
      </c>
      <c r="U1630" s="29">
        <v>1.004</v>
      </c>
      <c r="V1630" s="26">
        <v>23</v>
      </c>
      <c r="W1630" s="29">
        <v>96.6</v>
      </c>
      <c r="X1630" s="26">
        <v>86688</v>
      </c>
      <c r="Y1630" s="35">
        <v>3.9000000000000004</v>
      </c>
      <c r="Z1630" s="1" t="s">
        <v>3012</v>
      </c>
      <c r="AA1630" s="36">
        <v>4.5425000000000004</v>
      </c>
      <c r="AB1630" s="54">
        <v>45.401999999999994</v>
      </c>
      <c r="AC1630" s="54">
        <v>2.2260000000000004</v>
      </c>
      <c r="AD1630" s="36">
        <v>89.0535</v>
      </c>
    </row>
    <row r="1631" spans="1:30" s="37" customFormat="1" ht="15.75" customHeight="1" x14ac:dyDescent="0.2">
      <c r="A1631" s="26">
        <v>1935</v>
      </c>
      <c r="B1631" s="27" t="s">
        <v>2074</v>
      </c>
      <c r="C1631" s="27" t="s">
        <v>48</v>
      </c>
      <c r="D1631" s="28">
        <v>0.06</v>
      </c>
      <c r="E1631" s="29">
        <v>3.25</v>
      </c>
      <c r="F1631" s="29">
        <v>49</v>
      </c>
      <c r="G1631" s="30" t="s">
        <v>39</v>
      </c>
      <c r="H1631" s="27" t="s">
        <v>71</v>
      </c>
      <c r="I1631" s="27" t="s">
        <v>49</v>
      </c>
      <c r="J1631" s="27" t="s">
        <v>95</v>
      </c>
      <c r="K1631" s="27" t="s">
        <v>65</v>
      </c>
      <c r="L1631" s="31" t="s">
        <v>2719</v>
      </c>
      <c r="M1631" s="32">
        <v>0.56000000000000005</v>
      </c>
      <c r="N1631" s="27" t="s">
        <v>33</v>
      </c>
      <c r="O1631" s="27" t="s">
        <v>53</v>
      </c>
      <c r="P1631" s="27" t="s">
        <v>187</v>
      </c>
      <c r="Q1631" s="27" t="s">
        <v>2075</v>
      </c>
      <c r="R1631" s="33">
        <v>75051</v>
      </c>
      <c r="S1631" s="34">
        <v>42154</v>
      </c>
      <c r="T1631" s="34">
        <v>42160</v>
      </c>
      <c r="U1631" s="29">
        <v>10.507999999999999</v>
      </c>
      <c r="V1631" s="26">
        <v>2</v>
      </c>
      <c r="W1631" s="29">
        <v>55.6</v>
      </c>
      <c r="X1631" s="26">
        <v>86688</v>
      </c>
      <c r="Y1631" s="35">
        <v>2.84</v>
      </c>
      <c r="Z1631" s="1" t="s">
        <v>3012</v>
      </c>
      <c r="AA1631" s="36">
        <v>0.39</v>
      </c>
      <c r="AB1631" s="54">
        <v>24.463999999999999</v>
      </c>
      <c r="AC1631" s="54">
        <v>15.568000000000001</v>
      </c>
      <c r="AD1631" s="36">
        <v>-4.2979999999999947</v>
      </c>
    </row>
    <row r="1632" spans="1:30" s="37" customFormat="1" ht="15.75" customHeight="1" x14ac:dyDescent="0.2">
      <c r="A1632" s="26">
        <v>1062</v>
      </c>
      <c r="B1632" s="27" t="s">
        <v>1827</v>
      </c>
      <c r="C1632" s="27" t="s">
        <v>48</v>
      </c>
      <c r="D1632" s="28">
        <v>0.06</v>
      </c>
      <c r="E1632" s="29">
        <v>17.78</v>
      </c>
      <c r="F1632" s="29">
        <v>5.03</v>
      </c>
      <c r="G1632" s="30" t="s">
        <v>39</v>
      </c>
      <c r="H1632" s="27" t="s">
        <v>3095</v>
      </c>
      <c r="I1632" s="27" t="s">
        <v>29</v>
      </c>
      <c r="J1632" s="27" t="s">
        <v>126</v>
      </c>
      <c r="K1632" s="27" t="s">
        <v>73</v>
      </c>
      <c r="L1632" s="31" t="s">
        <v>2717</v>
      </c>
      <c r="M1632" s="32">
        <v>0.54</v>
      </c>
      <c r="N1632" s="27" t="s">
        <v>33</v>
      </c>
      <c r="O1632" s="27" t="s">
        <v>111</v>
      </c>
      <c r="P1632" s="27" t="s">
        <v>112</v>
      </c>
      <c r="Q1632" s="27" t="s">
        <v>1828</v>
      </c>
      <c r="R1632" s="33">
        <v>11727</v>
      </c>
      <c r="S1632" s="34">
        <v>42154</v>
      </c>
      <c r="T1632" s="34">
        <v>42157</v>
      </c>
      <c r="U1632" s="29">
        <v>38.067300000000003</v>
      </c>
      <c r="V1632" s="26">
        <v>3</v>
      </c>
      <c r="W1632" s="29">
        <v>55.17</v>
      </c>
      <c r="X1632" s="26">
        <v>91355</v>
      </c>
      <c r="Y1632" s="35">
        <v>120.93</v>
      </c>
      <c r="Z1632" s="1" t="s">
        <v>3014</v>
      </c>
      <c r="AA1632" s="36">
        <v>3.2004000000000001</v>
      </c>
      <c r="AB1632" s="54">
        <v>25.3782</v>
      </c>
      <c r="AC1632" s="54">
        <v>9.9306000000000001</v>
      </c>
      <c r="AD1632" s="36">
        <v>8.8722999999999956</v>
      </c>
    </row>
    <row r="1633" spans="1:30" s="37" customFormat="1" ht="15.75" customHeight="1" x14ac:dyDescent="0.2">
      <c r="A1633" s="26">
        <v>1690</v>
      </c>
      <c r="B1633" s="27" t="s">
        <v>750</v>
      </c>
      <c r="C1633" s="27" t="s">
        <v>3094</v>
      </c>
      <c r="D1633" s="28">
        <v>0.09</v>
      </c>
      <c r="E1633" s="29">
        <v>95.43</v>
      </c>
      <c r="F1633" s="29">
        <v>19.989999999999998</v>
      </c>
      <c r="G1633" s="30" t="s">
        <v>39</v>
      </c>
      <c r="H1633" s="27" t="s">
        <v>94</v>
      </c>
      <c r="I1633" s="27" t="s">
        <v>49</v>
      </c>
      <c r="J1633" s="27" t="s">
        <v>78</v>
      </c>
      <c r="K1633" s="27" t="s">
        <v>73</v>
      </c>
      <c r="L1633" s="31" t="s">
        <v>1437</v>
      </c>
      <c r="M1633" s="32">
        <v>0.79</v>
      </c>
      <c r="N1633" s="27" t="s">
        <v>33</v>
      </c>
      <c r="O1633" s="27" t="s">
        <v>111</v>
      </c>
      <c r="P1633" s="27" t="s">
        <v>320</v>
      </c>
      <c r="Q1633" s="27" t="s">
        <v>752</v>
      </c>
      <c r="R1633" s="33">
        <v>17112</v>
      </c>
      <c r="S1633" s="34">
        <v>42156</v>
      </c>
      <c r="T1633" s="34">
        <v>42157</v>
      </c>
      <c r="U1633" s="29">
        <v>-143.23500000000001</v>
      </c>
      <c r="V1633" s="26">
        <v>22</v>
      </c>
      <c r="W1633" s="29">
        <v>2053.6</v>
      </c>
      <c r="X1633" s="26">
        <v>91078</v>
      </c>
      <c r="Y1633" s="35">
        <v>3.64</v>
      </c>
      <c r="Z1633" s="1" t="s">
        <v>3014</v>
      </c>
      <c r="AA1633" s="36">
        <v>188.95140000000004</v>
      </c>
      <c r="AB1633" s="54">
        <v>431.25599999999991</v>
      </c>
      <c r="AC1633" s="54">
        <v>73.742909090909095</v>
      </c>
      <c r="AD1633" s="36">
        <v>1987.8935999999999</v>
      </c>
    </row>
    <row r="1634" spans="1:30" s="37" customFormat="1" ht="15.75" customHeight="1" x14ac:dyDescent="0.2">
      <c r="A1634" s="26">
        <v>3069</v>
      </c>
      <c r="B1634" s="27" t="s">
        <v>1168</v>
      </c>
      <c r="C1634" s="27" t="s">
        <v>38</v>
      </c>
      <c r="D1634" s="28">
        <v>0.03</v>
      </c>
      <c r="E1634" s="29">
        <v>120.98</v>
      </c>
      <c r="F1634" s="29">
        <v>30</v>
      </c>
      <c r="G1634" s="30" t="s">
        <v>27</v>
      </c>
      <c r="H1634" s="27" t="s">
        <v>40</v>
      </c>
      <c r="I1634" s="27" t="s">
        <v>29</v>
      </c>
      <c r="J1634" s="27" t="s">
        <v>109</v>
      </c>
      <c r="K1634" s="27" t="s">
        <v>58</v>
      </c>
      <c r="L1634" s="31" t="s">
        <v>1125</v>
      </c>
      <c r="M1634" s="32">
        <v>0.64</v>
      </c>
      <c r="N1634" s="27" t="s">
        <v>33</v>
      </c>
      <c r="O1634" s="27" t="s">
        <v>53</v>
      </c>
      <c r="P1634" s="27" t="s">
        <v>84</v>
      </c>
      <c r="Q1634" s="27" t="s">
        <v>1170</v>
      </c>
      <c r="R1634" s="33">
        <v>55128</v>
      </c>
      <c r="S1634" s="34">
        <v>42156</v>
      </c>
      <c r="T1634" s="34">
        <v>42158</v>
      </c>
      <c r="U1634" s="29">
        <v>638.02800000000002</v>
      </c>
      <c r="V1634" s="26">
        <v>15</v>
      </c>
      <c r="W1634" s="29">
        <v>1894.45</v>
      </c>
      <c r="X1634" s="26">
        <v>88191</v>
      </c>
      <c r="Y1634" s="35">
        <v>4.66</v>
      </c>
      <c r="Z1634" s="1" t="s">
        <v>3012</v>
      </c>
      <c r="AA1634" s="36">
        <v>54.441000000000003</v>
      </c>
      <c r="AB1634" s="54">
        <v>682.00199999999995</v>
      </c>
      <c r="AC1634" s="54">
        <v>80.829866666666675</v>
      </c>
      <c r="AD1634" s="36">
        <v>1171.981</v>
      </c>
    </row>
    <row r="1635" spans="1:30" s="37" customFormat="1" ht="15.75" customHeight="1" x14ac:dyDescent="0.2">
      <c r="A1635" s="26">
        <v>797</v>
      </c>
      <c r="B1635" s="27" t="s">
        <v>1524</v>
      </c>
      <c r="C1635" s="27" t="s">
        <v>3094</v>
      </c>
      <c r="D1635" s="28">
        <v>7.0000000000000007E-2</v>
      </c>
      <c r="E1635" s="29">
        <v>64.650000000000006</v>
      </c>
      <c r="F1635" s="29">
        <v>35</v>
      </c>
      <c r="G1635" s="30" t="s">
        <v>39</v>
      </c>
      <c r="H1635" s="27" t="s">
        <v>94</v>
      </c>
      <c r="I1635" s="27" t="s">
        <v>49</v>
      </c>
      <c r="J1635" s="27" t="s">
        <v>78</v>
      </c>
      <c r="K1635" s="27" t="s">
        <v>65</v>
      </c>
      <c r="L1635" s="31" t="s">
        <v>1013</v>
      </c>
      <c r="M1635" s="32">
        <v>0.8</v>
      </c>
      <c r="N1635" s="27" t="s">
        <v>33</v>
      </c>
      <c r="O1635" s="27" t="s">
        <v>60</v>
      </c>
      <c r="P1635" s="27" t="s">
        <v>146</v>
      </c>
      <c r="Q1635" s="27" t="s">
        <v>1526</v>
      </c>
      <c r="R1635" s="33">
        <v>84067</v>
      </c>
      <c r="S1635" s="34">
        <v>42156</v>
      </c>
      <c r="T1635" s="34">
        <v>42158</v>
      </c>
      <c r="U1635" s="29">
        <v>-717.072</v>
      </c>
      <c r="V1635" s="26">
        <v>13</v>
      </c>
      <c r="W1635" s="29">
        <v>834.08</v>
      </c>
      <c r="X1635" s="26">
        <v>86868</v>
      </c>
      <c r="Y1635" s="35">
        <v>55.95</v>
      </c>
      <c r="Z1635" s="1" t="s">
        <v>3013</v>
      </c>
      <c r="AA1635" s="36">
        <v>58.831500000000013</v>
      </c>
      <c r="AB1635" s="54">
        <v>166.81599999999997</v>
      </c>
      <c r="AC1635" s="54">
        <v>51.328000000000003</v>
      </c>
      <c r="AD1635" s="36">
        <v>1457.3205</v>
      </c>
    </row>
    <row r="1636" spans="1:30" s="37" customFormat="1" ht="15.75" customHeight="1" x14ac:dyDescent="0.2">
      <c r="A1636" s="26">
        <v>3141</v>
      </c>
      <c r="B1636" s="27" t="s">
        <v>2728</v>
      </c>
      <c r="C1636" s="27" t="s">
        <v>48</v>
      </c>
      <c r="D1636" s="28">
        <v>7.0000000000000007E-2</v>
      </c>
      <c r="E1636" s="29">
        <v>48.91</v>
      </c>
      <c r="F1636" s="29">
        <v>35</v>
      </c>
      <c r="G1636" s="30" t="s">
        <v>87</v>
      </c>
      <c r="H1636" s="27" t="s">
        <v>40</v>
      </c>
      <c r="I1636" s="27" t="s">
        <v>49</v>
      </c>
      <c r="J1636" s="27" t="s">
        <v>78</v>
      </c>
      <c r="K1636" s="27" t="s">
        <v>65</v>
      </c>
      <c r="L1636" s="31" t="s">
        <v>1821</v>
      </c>
      <c r="M1636" s="32">
        <v>0.83</v>
      </c>
      <c r="N1636" s="27" t="s">
        <v>33</v>
      </c>
      <c r="O1636" s="27" t="s">
        <v>53</v>
      </c>
      <c r="P1636" s="27" t="s">
        <v>187</v>
      </c>
      <c r="Q1636" s="27" t="s">
        <v>366</v>
      </c>
      <c r="R1636" s="33">
        <v>77506</v>
      </c>
      <c r="S1636" s="34">
        <v>42156</v>
      </c>
      <c r="T1636" s="34">
        <v>42158</v>
      </c>
      <c r="U1636" s="29">
        <v>-485.68</v>
      </c>
      <c r="V1636" s="26">
        <v>15</v>
      </c>
      <c r="W1636" s="29">
        <v>736.86</v>
      </c>
      <c r="X1636" s="26">
        <v>86369</v>
      </c>
      <c r="Y1636" s="35">
        <v>120.95</v>
      </c>
      <c r="Z1636" s="1" t="s">
        <v>3012</v>
      </c>
      <c r="AA1636" s="36">
        <v>51.355500000000006</v>
      </c>
      <c r="AB1636" s="54">
        <v>125.26620000000003</v>
      </c>
      <c r="AC1636" s="54">
        <v>40.772919999999999</v>
      </c>
      <c r="AD1636" s="36">
        <v>1136.1845000000001</v>
      </c>
    </row>
    <row r="1637" spans="1:30" s="37" customFormat="1" ht="15.75" customHeight="1" x14ac:dyDescent="0.2">
      <c r="A1637" s="26">
        <v>2828</v>
      </c>
      <c r="B1637" s="27" t="s">
        <v>1259</v>
      </c>
      <c r="C1637" s="27" t="s">
        <v>116</v>
      </c>
      <c r="D1637" s="28">
        <v>7.0000000000000007E-2</v>
      </c>
      <c r="E1637" s="29">
        <v>39.479999999999997</v>
      </c>
      <c r="F1637" s="29">
        <v>1.99</v>
      </c>
      <c r="G1637" s="30" t="s">
        <v>39</v>
      </c>
      <c r="H1637" s="27" t="s">
        <v>94</v>
      </c>
      <c r="I1637" s="27" t="s">
        <v>41</v>
      </c>
      <c r="J1637" s="27" t="s">
        <v>42</v>
      </c>
      <c r="K1637" s="27" t="s">
        <v>43</v>
      </c>
      <c r="L1637" s="31" t="s">
        <v>1257</v>
      </c>
      <c r="M1637" s="32">
        <v>0.54</v>
      </c>
      <c r="N1637" s="27" t="s">
        <v>33</v>
      </c>
      <c r="O1637" s="27" t="s">
        <v>60</v>
      </c>
      <c r="P1637" s="27" t="s">
        <v>90</v>
      </c>
      <c r="Q1637" s="27" t="s">
        <v>1261</v>
      </c>
      <c r="R1637" s="33">
        <v>92243</v>
      </c>
      <c r="S1637" s="34">
        <v>42156</v>
      </c>
      <c r="T1637" s="34">
        <v>42157</v>
      </c>
      <c r="U1637" s="29">
        <v>322.25069999999999</v>
      </c>
      <c r="V1637" s="26">
        <v>12</v>
      </c>
      <c r="W1637" s="29">
        <v>467.03</v>
      </c>
      <c r="X1637" s="26">
        <v>87721</v>
      </c>
      <c r="Y1637" s="35">
        <v>15.67</v>
      </c>
      <c r="Z1637" s="1" t="s">
        <v>3013</v>
      </c>
      <c r="AA1637" s="36">
        <v>33.163199999999996</v>
      </c>
      <c r="AB1637" s="54">
        <v>214.83379999999997</v>
      </c>
      <c r="AC1637" s="54">
        <v>21.016349999999999</v>
      </c>
      <c r="AD1637" s="36">
        <v>109.62609999999995</v>
      </c>
    </row>
    <row r="1638" spans="1:30" s="37" customFormat="1" ht="15.75" customHeight="1" x14ac:dyDescent="0.2">
      <c r="A1638" s="26">
        <v>3069</v>
      </c>
      <c r="B1638" s="27" t="s">
        <v>1168</v>
      </c>
      <c r="C1638" s="27" t="s">
        <v>38</v>
      </c>
      <c r="D1638" s="28">
        <v>0.01</v>
      </c>
      <c r="E1638" s="29">
        <v>15.68</v>
      </c>
      <c r="F1638" s="29">
        <v>3.73</v>
      </c>
      <c r="G1638" s="30" t="s">
        <v>39</v>
      </c>
      <c r="H1638" s="27" t="s">
        <v>40</v>
      </c>
      <c r="I1638" s="27" t="s">
        <v>29</v>
      </c>
      <c r="J1638" s="27" t="s">
        <v>126</v>
      </c>
      <c r="K1638" s="27" t="s">
        <v>43</v>
      </c>
      <c r="L1638" s="31" t="s">
        <v>2727</v>
      </c>
      <c r="M1638" s="32">
        <v>0.46</v>
      </c>
      <c r="N1638" s="27" t="s">
        <v>33</v>
      </c>
      <c r="O1638" s="27" t="s">
        <v>53</v>
      </c>
      <c r="P1638" s="27" t="s">
        <v>84</v>
      </c>
      <c r="Q1638" s="27" t="s">
        <v>1170</v>
      </c>
      <c r="R1638" s="33">
        <v>55128</v>
      </c>
      <c r="S1638" s="34">
        <v>42156</v>
      </c>
      <c r="T1638" s="34">
        <v>42158</v>
      </c>
      <c r="U1638" s="29">
        <v>138.49680000000001</v>
      </c>
      <c r="V1638" s="26">
        <v>12</v>
      </c>
      <c r="W1638" s="29">
        <v>200.72</v>
      </c>
      <c r="X1638" s="26">
        <v>88191</v>
      </c>
      <c r="Y1638" s="35">
        <v>6.75</v>
      </c>
      <c r="Z1638" s="1" t="s">
        <v>3012</v>
      </c>
      <c r="AA1638" s="36">
        <v>1.8815999999999999</v>
      </c>
      <c r="AB1638" s="54">
        <v>108.3888</v>
      </c>
      <c r="AC1638" s="54">
        <v>7.6942666666666666</v>
      </c>
      <c r="AD1638" s="36">
        <v>56.61160000000001</v>
      </c>
    </row>
    <row r="1639" spans="1:30" s="37" customFormat="1" ht="15.75" customHeight="1" x14ac:dyDescent="0.2">
      <c r="A1639" s="26">
        <v>1556</v>
      </c>
      <c r="B1639" s="27" t="s">
        <v>2730</v>
      </c>
      <c r="C1639" s="27" t="s">
        <v>3094</v>
      </c>
      <c r="D1639" s="28">
        <v>0.08</v>
      </c>
      <c r="E1639" s="29">
        <v>22.84</v>
      </c>
      <c r="F1639" s="29">
        <v>11.54</v>
      </c>
      <c r="G1639" s="30" t="s">
        <v>39</v>
      </c>
      <c r="H1639" s="27" t="s">
        <v>40</v>
      </c>
      <c r="I1639" s="27" t="s">
        <v>49</v>
      </c>
      <c r="J1639" s="27" t="s">
        <v>88</v>
      </c>
      <c r="K1639" s="27" t="s">
        <v>73</v>
      </c>
      <c r="L1639" s="31" t="s">
        <v>1841</v>
      </c>
      <c r="M1639" s="32">
        <v>0.39</v>
      </c>
      <c r="N1639" s="27" t="s">
        <v>33</v>
      </c>
      <c r="O1639" s="27" t="s">
        <v>34</v>
      </c>
      <c r="P1639" s="27" t="s">
        <v>242</v>
      </c>
      <c r="Q1639" s="27" t="s">
        <v>2732</v>
      </c>
      <c r="R1639" s="33">
        <v>22304</v>
      </c>
      <c r="S1639" s="34">
        <v>42156</v>
      </c>
      <c r="T1639" s="34">
        <v>42158</v>
      </c>
      <c r="U1639" s="29">
        <v>-477.37200000000001</v>
      </c>
      <c r="V1639" s="26">
        <v>9</v>
      </c>
      <c r="W1639" s="29">
        <v>195.16</v>
      </c>
      <c r="X1639" s="26">
        <v>87425</v>
      </c>
      <c r="Y1639" s="35">
        <v>48.839999999999996</v>
      </c>
      <c r="Z1639" s="1" t="s">
        <v>3011</v>
      </c>
      <c r="AA1639" s="36">
        <v>16.444800000000001</v>
      </c>
      <c r="AB1639" s="54">
        <v>119.04759999999999</v>
      </c>
      <c r="AC1639" s="54">
        <v>8.4569333333333336</v>
      </c>
      <c r="AD1639" s="36">
        <v>644.54719999999998</v>
      </c>
    </row>
    <row r="1640" spans="1:30" s="37" customFormat="1" ht="15.75" customHeight="1" x14ac:dyDescent="0.2">
      <c r="A1640" s="26">
        <v>2737</v>
      </c>
      <c r="B1640" s="27" t="s">
        <v>2270</v>
      </c>
      <c r="C1640" s="27" t="s">
        <v>116</v>
      </c>
      <c r="D1640" s="28">
        <v>0.03</v>
      </c>
      <c r="E1640" s="29">
        <v>15.31</v>
      </c>
      <c r="F1640" s="29">
        <v>8.7799999999999994</v>
      </c>
      <c r="G1640" s="30" t="s">
        <v>39</v>
      </c>
      <c r="H1640" s="27" t="s">
        <v>3095</v>
      </c>
      <c r="I1640" s="27" t="s">
        <v>49</v>
      </c>
      <c r="J1640" s="27" t="s">
        <v>78</v>
      </c>
      <c r="K1640" s="27" t="s">
        <v>73</v>
      </c>
      <c r="L1640" s="31" t="s">
        <v>2434</v>
      </c>
      <c r="M1640" s="32">
        <v>0.56999999999999995</v>
      </c>
      <c r="N1640" s="27" t="s">
        <v>33</v>
      </c>
      <c r="O1640" s="27" t="s">
        <v>111</v>
      </c>
      <c r="P1640" s="27" t="s">
        <v>633</v>
      </c>
      <c r="Q1640" s="27" t="s">
        <v>1946</v>
      </c>
      <c r="R1640" s="33">
        <v>5701</v>
      </c>
      <c r="S1640" s="34">
        <v>42156</v>
      </c>
      <c r="T1640" s="34">
        <v>42157</v>
      </c>
      <c r="U1640" s="29">
        <v>-57.56</v>
      </c>
      <c r="V1640" s="26">
        <v>12</v>
      </c>
      <c r="W1640" s="29">
        <v>194.08</v>
      </c>
      <c r="X1640" s="26">
        <v>89019</v>
      </c>
      <c r="Y1640" s="35">
        <v>15.280000000000001</v>
      </c>
      <c r="Z1640" s="1" t="s">
        <v>3014</v>
      </c>
      <c r="AA1640" s="36">
        <v>5.5115999999999996</v>
      </c>
      <c r="AB1640" s="54">
        <v>83.454400000000021</v>
      </c>
      <c r="AC1640" s="54">
        <v>9.2187999999999999</v>
      </c>
      <c r="AD1640" s="36">
        <v>237.34840000000003</v>
      </c>
    </row>
    <row r="1641" spans="1:30" s="37" customFormat="1" ht="15.75" customHeight="1" x14ac:dyDescent="0.2">
      <c r="A1641" s="26">
        <v>2817</v>
      </c>
      <c r="B1641" s="27" t="s">
        <v>2723</v>
      </c>
      <c r="C1641" s="27" t="s">
        <v>38</v>
      </c>
      <c r="D1641" s="28">
        <v>0.04</v>
      </c>
      <c r="E1641" s="29">
        <v>55.99</v>
      </c>
      <c r="F1641" s="29">
        <v>1.25</v>
      </c>
      <c r="G1641" s="30" t="s">
        <v>87</v>
      </c>
      <c r="H1641" s="27" t="s">
        <v>94</v>
      </c>
      <c r="I1641" s="27" t="s">
        <v>41</v>
      </c>
      <c r="J1641" s="27" t="s">
        <v>135</v>
      </c>
      <c r="K1641" s="27" t="s">
        <v>43</v>
      </c>
      <c r="L1641" s="31" t="s">
        <v>2726</v>
      </c>
      <c r="M1641" s="32">
        <v>0.35</v>
      </c>
      <c r="N1641" s="27" t="s">
        <v>33</v>
      </c>
      <c r="O1641" s="27" t="s">
        <v>111</v>
      </c>
      <c r="P1641" s="27" t="s">
        <v>317</v>
      </c>
      <c r="Q1641" s="27" t="s">
        <v>2725</v>
      </c>
      <c r="R1641" s="33">
        <v>43055</v>
      </c>
      <c r="S1641" s="34">
        <v>42156</v>
      </c>
      <c r="T1641" s="34">
        <v>42157</v>
      </c>
      <c r="U1641" s="29">
        <v>-18.3216</v>
      </c>
      <c r="V1641" s="26">
        <v>3</v>
      </c>
      <c r="W1641" s="29">
        <v>147.56</v>
      </c>
      <c r="X1641" s="26">
        <v>89743</v>
      </c>
      <c r="Y1641" s="35">
        <v>39.409999999999997</v>
      </c>
      <c r="Z1641" s="1" t="s">
        <v>3014</v>
      </c>
      <c r="AA1641" s="36">
        <v>6.7188000000000008</v>
      </c>
      <c r="AB1641" s="54">
        <v>95.914000000000001</v>
      </c>
      <c r="AC1641" s="54">
        <v>17.215333333333334</v>
      </c>
      <c r="AD1641" s="36">
        <v>157.9128</v>
      </c>
    </row>
    <row r="1642" spans="1:30" s="37" customFormat="1" ht="15.75" customHeight="1" x14ac:dyDescent="0.2">
      <c r="A1642" s="26">
        <v>3141</v>
      </c>
      <c r="B1642" s="27" t="s">
        <v>2728</v>
      </c>
      <c r="C1642" s="27" t="s">
        <v>48</v>
      </c>
      <c r="D1642" s="28">
        <v>0.09</v>
      </c>
      <c r="E1642" s="29">
        <v>6.84</v>
      </c>
      <c r="F1642" s="29">
        <v>8.3699999999999992</v>
      </c>
      <c r="G1642" s="30" t="s">
        <v>39</v>
      </c>
      <c r="H1642" s="27" t="s">
        <v>40</v>
      </c>
      <c r="I1642" s="27" t="s">
        <v>49</v>
      </c>
      <c r="J1642" s="27" t="s">
        <v>568</v>
      </c>
      <c r="K1642" s="27" t="s">
        <v>43</v>
      </c>
      <c r="L1642" s="31" t="s">
        <v>736</v>
      </c>
      <c r="M1642" s="32">
        <v>0.57999999999999996</v>
      </c>
      <c r="N1642" s="27" t="s">
        <v>33</v>
      </c>
      <c r="O1642" s="27" t="s">
        <v>53</v>
      </c>
      <c r="P1642" s="27" t="s">
        <v>187</v>
      </c>
      <c r="Q1642" s="27" t="s">
        <v>366</v>
      </c>
      <c r="R1642" s="33">
        <v>77506</v>
      </c>
      <c r="S1642" s="34">
        <v>42156</v>
      </c>
      <c r="T1642" s="34">
        <v>42163</v>
      </c>
      <c r="U1642" s="29">
        <v>-88.584999999999994</v>
      </c>
      <c r="V1642" s="26">
        <v>13</v>
      </c>
      <c r="W1642" s="29">
        <v>87.1</v>
      </c>
      <c r="X1642" s="26">
        <v>86369</v>
      </c>
      <c r="Y1642" s="35">
        <v>9.07</v>
      </c>
      <c r="Z1642" s="1" t="s">
        <v>3012</v>
      </c>
      <c r="AA1642" s="36">
        <v>8.0027999999999988</v>
      </c>
      <c r="AB1642" s="54">
        <v>36.582000000000001</v>
      </c>
      <c r="AC1642" s="54">
        <v>3.8859999999999992</v>
      </c>
      <c r="AD1642" s="36">
        <v>159.31219999999999</v>
      </c>
    </row>
    <row r="1643" spans="1:30" s="37" customFormat="1" ht="15.75" customHeight="1" x14ac:dyDescent="0.2">
      <c r="A1643" s="26">
        <v>1802</v>
      </c>
      <c r="B1643" s="27" t="s">
        <v>2722</v>
      </c>
      <c r="C1643" s="27" t="s">
        <v>26</v>
      </c>
      <c r="D1643" s="28">
        <v>0.04</v>
      </c>
      <c r="E1643" s="29">
        <v>3.68</v>
      </c>
      <c r="F1643" s="29">
        <v>1.32</v>
      </c>
      <c r="G1643" s="30" t="s">
        <v>39</v>
      </c>
      <c r="H1643" s="27" t="s">
        <v>94</v>
      </c>
      <c r="I1643" s="27" t="s">
        <v>49</v>
      </c>
      <c r="J1643" s="27" t="s">
        <v>568</v>
      </c>
      <c r="K1643" s="27" t="s">
        <v>51</v>
      </c>
      <c r="L1643" s="31" t="s">
        <v>2526</v>
      </c>
      <c r="M1643" s="32">
        <v>0.83</v>
      </c>
      <c r="N1643" s="27" t="s">
        <v>33</v>
      </c>
      <c r="O1643" s="27" t="s">
        <v>34</v>
      </c>
      <c r="P1643" s="27" t="s">
        <v>123</v>
      </c>
      <c r="Q1643" s="27" t="s">
        <v>713</v>
      </c>
      <c r="R1643" s="33">
        <v>34698</v>
      </c>
      <c r="S1643" s="34">
        <v>42156</v>
      </c>
      <c r="T1643" s="34">
        <v>42157</v>
      </c>
      <c r="U1643" s="29">
        <v>300.92579999999998</v>
      </c>
      <c r="V1643" s="26">
        <v>11</v>
      </c>
      <c r="W1643" s="29">
        <v>41.29</v>
      </c>
      <c r="X1643" s="26">
        <v>91543</v>
      </c>
      <c r="Y1643" s="35">
        <v>64.580000000000013</v>
      </c>
      <c r="Z1643" s="1" t="s">
        <v>3011</v>
      </c>
      <c r="AA1643" s="36">
        <v>1.6192</v>
      </c>
      <c r="AB1643" s="54">
        <v>7.0193000000000012</v>
      </c>
      <c r="AC1643" s="54">
        <v>3.1155181818181816</v>
      </c>
      <c r="AD1643" s="36">
        <v>-262.57499999999993</v>
      </c>
    </row>
    <row r="1644" spans="1:30" s="37" customFormat="1" ht="15.75" customHeight="1" x14ac:dyDescent="0.2">
      <c r="A1644" s="26">
        <v>2443</v>
      </c>
      <c r="B1644" s="27" t="s">
        <v>621</v>
      </c>
      <c r="C1644" s="27" t="s">
        <v>3094</v>
      </c>
      <c r="D1644" s="28">
        <v>0.06</v>
      </c>
      <c r="E1644" s="29">
        <v>2.2799999999999998</v>
      </c>
      <c r="F1644" s="29">
        <v>5.2</v>
      </c>
      <c r="G1644" s="30" t="s">
        <v>39</v>
      </c>
      <c r="H1644" s="27" t="s">
        <v>94</v>
      </c>
      <c r="I1644" s="27" t="s">
        <v>49</v>
      </c>
      <c r="J1644" s="27" t="s">
        <v>50</v>
      </c>
      <c r="K1644" s="27" t="s">
        <v>51</v>
      </c>
      <c r="L1644" s="31" t="s">
        <v>2733</v>
      </c>
      <c r="M1644" s="32">
        <v>0.41</v>
      </c>
      <c r="N1644" s="27" t="s">
        <v>33</v>
      </c>
      <c r="O1644" s="27" t="s">
        <v>34</v>
      </c>
      <c r="P1644" s="27" t="s">
        <v>123</v>
      </c>
      <c r="Q1644" s="27" t="s">
        <v>128</v>
      </c>
      <c r="R1644" s="33">
        <v>33142</v>
      </c>
      <c r="S1644" s="34">
        <v>42156</v>
      </c>
      <c r="T1644" s="34">
        <v>42158</v>
      </c>
      <c r="U1644" s="29">
        <v>-2002.6314</v>
      </c>
      <c r="V1644" s="26">
        <v>13</v>
      </c>
      <c r="W1644" s="29">
        <v>30.47</v>
      </c>
      <c r="X1644" s="26">
        <v>89301</v>
      </c>
      <c r="Y1644" s="35">
        <v>2.83</v>
      </c>
      <c r="Z1644" s="1" t="s">
        <v>3011</v>
      </c>
      <c r="AA1644" s="36">
        <v>1.7783999999999998</v>
      </c>
      <c r="AB1644" s="54">
        <v>17.977300000000003</v>
      </c>
      <c r="AC1644" s="54">
        <v>0.96097692307692295</v>
      </c>
      <c r="AD1644" s="36">
        <v>2026.123</v>
      </c>
    </row>
    <row r="1645" spans="1:30" s="37" customFormat="1" ht="15.75" customHeight="1" x14ac:dyDescent="0.2">
      <c r="A1645" s="26">
        <v>797</v>
      </c>
      <c r="B1645" s="27" t="s">
        <v>1524</v>
      </c>
      <c r="C1645" s="27" t="s">
        <v>3094</v>
      </c>
      <c r="D1645" s="28">
        <v>0.04</v>
      </c>
      <c r="E1645" s="29">
        <v>9.11</v>
      </c>
      <c r="F1645" s="29">
        <v>2.25</v>
      </c>
      <c r="G1645" s="30" t="s">
        <v>39</v>
      </c>
      <c r="H1645" s="27" t="s">
        <v>94</v>
      </c>
      <c r="I1645" s="27" t="s">
        <v>49</v>
      </c>
      <c r="J1645" s="27" t="s">
        <v>50</v>
      </c>
      <c r="K1645" s="27" t="s">
        <v>51</v>
      </c>
      <c r="L1645" s="31" t="s">
        <v>2729</v>
      </c>
      <c r="M1645" s="32">
        <v>0.52</v>
      </c>
      <c r="N1645" s="27" t="s">
        <v>33</v>
      </c>
      <c r="O1645" s="27" t="s">
        <v>60</v>
      </c>
      <c r="P1645" s="27" t="s">
        <v>146</v>
      </c>
      <c r="Q1645" s="27" t="s">
        <v>1526</v>
      </c>
      <c r="R1645" s="33">
        <v>84067</v>
      </c>
      <c r="S1645" s="34">
        <v>42156</v>
      </c>
      <c r="T1645" s="34">
        <v>42159</v>
      </c>
      <c r="U1645" s="29">
        <v>-3.496</v>
      </c>
      <c r="V1645" s="26">
        <v>2</v>
      </c>
      <c r="W1645" s="29">
        <v>18.59</v>
      </c>
      <c r="X1645" s="26">
        <v>86868</v>
      </c>
      <c r="Y1645" s="35">
        <v>22.76</v>
      </c>
      <c r="Z1645" s="1" t="s">
        <v>3013</v>
      </c>
      <c r="AA1645" s="36">
        <v>0.7288</v>
      </c>
      <c r="AB1645" s="54">
        <v>8.9231999999999996</v>
      </c>
      <c r="AC1645" s="54">
        <v>4.8334000000000001</v>
      </c>
      <c r="AD1645" s="36">
        <v>19.107199999999999</v>
      </c>
    </row>
    <row r="1646" spans="1:30" s="37" customFormat="1" ht="15.75" customHeight="1" x14ac:dyDescent="0.2">
      <c r="A1646" s="26">
        <v>1556</v>
      </c>
      <c r="B1646" s="27" t="s">
        <v>2730</v>
      </c>
      <c r="C1646" s="27" t="s">
        <v>3094</v>
      </c>
      <c r="D1646" s="28">
        <v>0.06</v>
      </c>
      <c r="E1646" s="29">
        <v>2.89</v>
      </c>
      <c r="F1646" s="29">
        <v>0.99</v>
      </c>
      <c r="G1646" s="30" t="s">
        <v>39</v>
      </c>
      <c r="H1646" s="27" t="s">
        <v>40</v>
      </c>
      <c r="I1646" s="27" t="s">
        <v>49</v>
      </c>
      <c r="J1646" s="27" t="s">
        <v>152</v>
      </c>
      <c r="K1646" s="27" t="s">
        <v>73</v>
      </c>
      <c r="L1646" s="31" t="s">
        <v>2731</v>
      </c>
      <c r="M1646" s="32">
        <v>0.38</v>
      </c>
      <c r="N1646" s="27" t="s">
        <v>33</v>
      </c>
      <c r="O1646" s="27" t="s">
        <v>34</v>
      </c>
      <c r="P1646" s="27" t="s">
        <v>242</v>
      </c>
      <c r="Q1646" s="27" t="s">
        <v>2732</v>
      </c>
      <c r="R1646" s="33">
        <v>22304</v>
      </c>
      <c r="S1646" s="34">
        <v>42156</v>
      </c>
      <c r="T1646" s="34">
        <v>42158</v>
      </c>
      <c r="U1646" s="29">
        <v>-2.0097</v>
      </c>
      <c r="V1646" s="26">
        <v>6</v>
      </c>
      <c r="W1646" s="29">
        <v>16.670000000000002</v>
      </c>
      <c r="X1646" s="26">
        <v>87425</v>
      </c>
      <c r="Y1646" s="35">
        <v>95.34</v>
      </c>
      <c r="Z1646" s="1" t="s">
        <v>3011</v>
      </c>
      <c r="AA1646" s="36">
        <v>1.0404</v>
      </c>
      <c r="AB1646" s="54">
        <v>10.335400000000002</v>
      </c>
      <c r="AC1646" s="54">
        <v>1.0557666666666667</v>
      </c>
      <c r="AD1646" s="36">
        <v>16.6493</v>
      </c>
    </row>
    <row r="1647" spans="1:30" s="37" customFormat="1" ht="15.75" customHeight="1" x14ac:dyDescent="0.2">
      <c r="A1647" s="26">
        <v>2817</v>
      </c>
      <c r="B1647" s="27" t="s">
        <v>2723</v>
      </c>
      <c r="C1647" s="27" t="s">
        <v>38</v>
      </c>
      <c r="D1647" s="28">
        <v>0.05</v>
      </c>
      <c r="E1647" s="29">
        <v>4.71</v>
      </c>
      <c r="F1647" s="29">
        <v>0.7</v>
      </c>
      <c r="G1647" s="30" t="s">
        <v>87</v>
      </c>
      <c r="H1647" s="27" t="s">
        <v>94</v>
      </c>
      <c r="I1647" s="27" t="s">
        <v>49</v>
      </c>
      <c r="J1647" s="27" t="s">
        <v>176</v>
      </c>
      <c r="K1647" s="27" t="s">
        <v>51</v>
      </c>
      <c r="L1647" s="31" t="s">
        <v>2724</v>
      </c>
      <c r="M1647" s="32">
        <v>0.8</v>
      </c>
      <c r="N1647" s="27" t="s">
        <v>33</v>
      </c>
      <c r="O1647" s="27" t="s">
        <v>111</v>
      </c>
      <c r="P1647" s="27" t="s">
        <v>317</v>
      </c>
      <c r="Q1647" s="27" t="s">
        <v>2725</v>
      </c>
      <c r="R1647" s="33">
        <v>43055</v>
      </c>
      <c r="S1647" s="34">
        <v>42156</v>
      </c>
      <c r="T1647" s="34">
        <v>42157</v>
      </c>
      <c r="U1647" s="29">
        <v>-2.3759999999999999</v>
      </c>
      <c r="V1647" s="26">
        <v>2</v>
      </c>
      <c r="W1647" s="29">
        <v>12.16</v>
      </c>
      <c r="X1647" s="26">
        <v>89743</v>
      </c>
      <c r="Y1647" s="35">
        <v>2.2199999999999998</v>
      </c>
      <c r="Z1647" s="1" t="s">
        <v>3014</v>
      </c>
      <c r="AA1647" s="36">
        <v>0.47100000000000003</v>
      </c>
      <c r="AB1647" s="54">
        <v>2.4319999999999995</v>
      </c>
      <c r="AC1647" s="54">
        <v>4.8640000000000008</v>
      </c>
      <c r="AD1647" s="36">
        <v>13.365</v>
      </c>
    </row>
    <row r="1648" spans="1:30" s="37" customFormat="1" ht="15.75" customHeight="1" x14ac:dyDescent="0.2">
      <c r="A1648" s="26">
        <v>3374</v>
      </c>
      <c r="B1648" s="27" t="s">
        <v>2742</v>
      </c>
      <c r="C1648" s="27" t="s">
        <v>116</v>
      </c>
      <c r="D1648" s="28">
        <v>0.01</v>
      </c>
      <c r="E1648" s="29">
        <v>179.29</v>
      </c>
      <c r="F1648" s="29">
        <v>29.21</v>
      </c>
      <c r="G1648" s="30" t="s">
        <v>27</v>
      </c>
      <c r="H1648" s="27" t="s">
        <v>94</v>
      </c>
      <c r="I1648" s="27" t="s">
        <v>29</v>
      </c>
      <c r="J1648" s="27" t="s">
        <v>30</v>
      </c>
      <c r="K1648" s="27" t="s">
        <v>31</v>
      </c>
      <c r="L1648" s="31" t="s">
        <v>543</v>
      </c>
      <c r="M1648" s="32">
        <v>0.76</v>
      </c>
      <c r="N1648" s="27" t="s">
        <v>33</v>
      </c>
      <c r="O1648" s="27" t="s">
        <v>111</v>
      </c>
      <c r="P1648" s="27" t="s">
        <v>418</v>
      </c>
      <c r="Q1648" s="27" t="s">
        <v>2743</v>
      </c>
      <c r="R1648" s="33">
        <v>21113</v>
      </c>
      <c r="S1648" s="34">
        <v>42157</v>
      </c>
      <c r="T1648" s="34">
        <v>42159</v>
      </c>
      <c r="U1648" s="29">
        <v>66.362219999999994</v>
      </c>
      <c r="V1648" s="26">
        <v>8</v>
      </c>
      <c r="W1648" s="29">
        <v>1487.9</v>
      </c>
      <c r="X1648" s="26">
        <v>87473</v>
      </c>
      <c r="Y1648" s="35">
        <v>22.81</v>
      </c>
      <c r="Z1648" s="1" t="s">
        <v>3014</v>
      </c>
      <c r="AA1648" s="36">
        <v>14.3432</v>
      </c>
      <c r="AB1648" s="54">
        <v>357.096</v>
      </c>
      <c r="AC1648" s="54">
        <v>141.35050000000001</v>
      </c>
      <c r="AD1648" s="36">
        <v>1377.9845800000001</v>
      </c>
    </row>
    <row r="1649" spans="1:30" s="37" customFormat="1" ht="15.75" customHeight="1" x14ac:dyDescent="0.2">
      <c r="A1649" s="26">
        <v>2487</v>
      </c>
      <c r="B1649" s="27" t="s">
        <v>2746</v>
      </c>
      <c r="C1649" s="27" t="s">
        <v>3094</v>
      </c>
      <c r="D1649" s="28">
        <v>0.02</v>
      </c>
      <c r="E1649" s="29">
        <v>136.97999999999999</v>
      </c>
      <c r="F1649" s="29">
        <v>24.49</v>
      </c>
      <c r="G1649" s="30" t="s">
        <v>87</v>
      </c>
      <c r="H1649" s="27" t="s">
        <v>3095</v>
      </c>
      <c r="I1649" s="27" t="s">
        <v>29</v>
      </c>
      <c r="J1649" s="27" t="s">
        <v>126</v>
      </c>
      <c r="K1649" s="27" t="s">
        <v>65</v>
      </c>
      <c r="L1649" s="31" t="s">
        <v>429</v>
      </c>
      <c r="M1649" s="32">
        <v>0.59</v>
      </c>
      <c r="N1649" s="27" t="s">
        <v>33</v>
      </c>
      <c r="O1649" s="27" t="s">
        <v>34</v>
      </c>
      <c r="P1649" s="27" t="s">
        <v>75</v>
      </c>
      <c r="Q1649" s="27" t="s">
        <v>2747</v>
      </c>
      <c r="R1649" s="33">
        <v>30084</v>
      </c>
      <c r="S1649" s="34">
        <v>42157</v>
      </c>
      <c r="T1649" s="34">
        <v>42158</v>
      </c>
      <c r="U1649" s="29">
        <v>88.56</v>
      </c>
      <c r="V1649" s="26">
        <v>8</v>
      </c>
      <c r="W1649" s="29">
        <v>1140.95</v>
      </c>
      <c r="X1649" s="26">
        <v>91417</v>
      </c>
      <c r="Y1649" s="35">
        <v>10.93</v>
      </c>
      <c r="Z1649" s="1" t="s">
        <v>3011</v>
      </c>
      <c r="AA1649" s="36">
        <v>21.916799999999999</v>
      </c>
      <c r="AB1649" s="54">
        <v>467.78950000000003</v>
      </c>
      <c r="AC1649" s="54">
        <v>84.145062499999995</v>
      </c>
      <c r="AD1649" s="36">
        <v>1005.9832</v>
      </c>
    </row>
    <row r="1650" spans="1:30" s="37" customFormat="1" ht="15.75" customHeight="1" x14ac:dyDescent="0.2">
      <c r="A1650" s="26">
        <v>1170</v>
      </c>
      <c r="B1650" s="27" t="s">
        <v>2744</v>
      </c>
      <c r="C1650" s="27" t="s">
        <v>3094</v>
      </c>
      <c r="D1650" s="28">
        <v>0</v>
      </c>
      <c r="E1650" s="29">
        <v>200.99</v>
      </c>
      <c r="F1650" s="29">
        <v>8.08</v>
      </c>
      <c r="G1650" s="30" t="s">
        <v>39</v>
      </c>
      <c r="H1650" s="27" t="s">
        <v>40</v>
      </c>
      <c r="I1650" s="27" t="s">
        <v>41</v>
      </c>
      <c r="J1650" s="27" t="s">
        <v>135</v>
      </c>
      <c r="K1650" s="27" t="s">
        <v>73</v>
      </c>
      <c r="L1650" s="31" t="s">
        <v>2745</v>
      </c>
      <c r="M1650" s="32">
        <v>0.59</v>
      </c>
      <c r="N1650" s="27" t="s">
        <v>33</v>
      </c>
      <c r="O1650" s="27" t="s">
        <v>111</v>
      </c>
      <c r="P1650" s="27" t="s">
        <v>1608</v>
      </c>
      <c r="Q1650" s="27" t="s">
        <v>2725</v>
      </c>
      <c r="R1650" s="33">
        <v>19711</v>
      </c>
      <c r="S1650" s="34">
        <v>42157</v>
      </c>
      <c r="T1650" s="34">
        <v>42159</v>
      </c>
      <c r="U1650" s="29">
        <v>281.53440000000001</v>
      </c>
      <c r="V1650" s="26">
        <v>6</v>
      </c>
      <c r="W1650" s="29">
        <v>1076.3</v>
      </c>
      <c r="X1650" s="26">
        <v>87520</v>
      </c>
      <c r="Y1650" s="35">
        <v>12.899999999999999</v>
      </c>
      <c r="Z1650" s="1" t="s">
        <v>3014</v>
      </c>
      <c r="AA1650" s="36">
        <v>0</v>
      </c>
      <c r="AB1650" s="54">
        <v>441.28300000000002</v>
      </c>
      <c r="AC1650" s="54">
        <v>105.83616666666666</v>
      </c>
      <c r="AD1650" s="36">
        <v>786.68560000000002</v>
      </c>
    </row>
    <row r="1651" spans="1:30" s="37" customFormat="1" ht="15.75" customHeight="1" x14ac:dyDescent="0.2">
      <c r="A1651" s="26">
        <v>142</v>
      </c>
      <c r="B1651" s="27" t="s">
        <v>2734</v>
      </c>
      <c r="C1651" s="27" t="s">
        <v>26</v>
      </c>
      <c r="D1651" s="28">
        <v>0.03</v>
      </c>
      <c r="E1651" s="29">
        <v>22.84</v>
      </c>
      <c r="F1651" s="29">
        <v>11.54</v>
      </c>
      <c r="G1651" s="30" t="s">
        <v>39</v>
      </c>
      <c r="H1651" s="27" t="s">
        <v>3095</v>
      </c>
      <c r="I1651" s="27" t="s">
        <v>49</v>
      </c>
      <c r="J1651" s="27" t="s">
        <v>88</v>
      </c>
      <c r="K1651" s="27" t="s">
        <v>73</v>
      </c>
      <c r="L1651" s="31" t="s">
        <v>1841</v>
      </c>
      <c r="M1651" s="32">
        <v>0.39</v>
      </c>
      <c r="N1651" s="27" t="s">
        <v>33</v>
      </c>
      <c r="O1651" s="27" t="s">
        <v>111</v>
      </c>
      <c r="P1651" s="27" t="s">
        <v>248</v>
      </c>
      <c r="Q1651" s="27" t="s">
        <v>2735</v>
      </c>
      <c r="R1651" s="33">
        <v>6401</v>
      </c>
      <c r="S1651" s="34">
        <v>42157</v>
      </c>
      <c r="T1651" s="34">
        <v>42158</v>
      </c>
      <c r="U1651" s="29">
        <v>91.956000000000003</v>
      </c>
      <c r="V1651" s="26">
        <v>13</v>
      </c>
      <c r="W1651" s="29">
        <v>312.58999999999997</v>
      </c>
      <c r="X1651" s="26">
        <v>91087</v>
      </c>
      <c r="Y1651" s="35">
        <v>24.92</v>
      </c>
      <c r="Z1651" s="1" t="s">
        <v>3014</v>
      </c>
      <c r="AA1651" s="36">
        <v>8.9075999999999986</v>
      </c>
      <c r="AB1651" s="54">
        <v>190.67989999999998</v>
      </c>
      <c r="AC1651" s="54">
        <v>9.377699999999999</v>
      </c>
      <c r="AD1651" s="36">
        <v>200.18639999999996</v>
      </c>
    </row>
    <row r="1652" spans="1:30" s="37" customFormat="1" ht="15.75" customHeight="1" x14ac:dyDescent="0.2">
      <c r="A1652" s="26">
        <v>1461</v>
      </c>
      <c r="B1652" s="27" t="s">
        <v>2738</v>
      </c>
      <c r="C1652" s="27" t="s">
        <v>38</v>
      </c>
      <c r="D1652" s="28">
        <v>0.05</v>
      </c>
      <c r="E1652" s="29">
        <v>12.95</v>
      </c>
      <c r="F1652" s="29">
        <v>4.9800000000000004</v>
      </c>
      <c r="G1652" s="30" t="s">
        <v>39</v>
      </c>
      <c r="H1652" s="27" t="s">
        <v>40</v>
      </c>
      <c r="I1652" s="27" t="s">
        <v>49</v>
      </c>
      <c r="J1652" s="27" t="s">
        <v>72</v>
      </c>
      <c r="K1652" s="27" t="s">
        <v>73</v>
      </c>
      <c r="L1652" s="31" t="s">
        <v>2739</v>
      </c>
      <c r="M1652" s="32">
        <v>0.4</v>
      </c>
      <c r="N1652" s="27" t="s">
        <v>33</v>
      </c>
      <c r="O1652" s="27" t="s">
        <v>53</v>
      </c>
      <c r="P1652" s="27" t="s">
        <v>54</v>
      </c>
      <c r="Q1652" s="27" t="s">
        <v>2029</v>
      </c>
      <c r="R1652" s="33">
        <v>47905</v>
      </c>
      <c r="S1652" s="34">
        <v>42157</v>
      </c>
      <c r="T1652" s="34">
        <v>42159</v>
      </c>
      <c r="U1652" s="29">
        <v>134.16825</v>
      </c>
      <c r="V1652" s="26">
        <v>19</v>
      </c>
      <c r="W1652" s="29">
        <v>252.36</v>
      </c>
      <c r="X1652" s="26">
        <v>86397</v>
      </c>
      <c r="Y1652" s="35">
        <v>3.68</v>
      </c>
      <c r="Z1652" s="1" t="s">
        <v>3012</v>
      </c>
      <c r="AA1652" s="36">
        <v>12.302499999999998</v>
      </c>
      <c r="AB1652" s="54">
        <v>151.416</v>
      </c>
      <c r="AC1652" s="54">
        <v>5.312842105263158</v>
      </c>
      <c r="AD1652" s="36">
        <v>100.90925000000001</v>
      </c>
    </row>
    <row r="1653" spans="1:30" s="37" customFormat="1" ht="15.75" customHeight="1" x14ac:dyDescent="0.2">
      <c r="A1653" s="26">
        <v>1170</v>
      </c>
      <c r="B1653" s="27" t="s">
        <v>2744</v>
      </c>
      <c r="C1653" s="27" t="s">
        <v>3094</v>
      </c>
      <c r="D1653" s="28">
        <v>0.09</v>
      </c>
      <c r="E1653" s="29">
        <v>9.7799999999999994</v>
      </c>
      <c r="F1653" s="29">
        <v>1.39</v>
      </c>
      <c r="G1653" s="30" t="s">
        <v>39</v>
      </c>
      <c r="H1653" s="27" t="s">
        <v>40</v>
      </c>
      <c r="I1653" s="27" t="s">
        <v>49</v>
      </c>
      <c r="J1653" s="27" t="s">
        <v>345</v>
      </c>
      <c r="K1653" s="27" t="s">
        <v>73</v>
      </c>
      <c r="L1653" s="31" t="s">
        <v>1511</v>
      </c>
      <c r="M1653" s="32">
        <v>0.39</v>
      </c>
      <c r="N1653" s="27" t="s">
        <v>33</v>
      </c>
      <c r="O1653" s="27" t="s">
        <v>111</v>
      </c>
      <c r="P1653" s="27" t="s">
        <v>1608</v>
      </c>
      <c r="Q1653" s="27" t="s">
        <v>2725</v>
      </c>
      <c r="R1653" s="33">
        <v>19711</v>
      </c>
      <c r="S1653" s="34">
        <v>42157</v>
      </c>
      <c r="T1653" s="34">
        <v>42158</v>
      </c>
      <c r="U1653" s="29">
        <v>125.20740000000001</v>
      </c>
      <c r="V1653" s="26">
        <v>19</v>
      </c>
      <c r="W1653" s="29">
        <v>181.46</v>
      </c>
      <c r="X1653" s="26">
        <v>87520</v>
      </c>
      <c r="Y1653" s="35">
        <v>5.3100000000000005</v>
      </c>
      <c r="Z1653" s="1" t="s">
        <v>3014</v>
      </c>
      <c r="AA1653" s="36">
        <v>16.723799999999997</v>
      </c>
      <c r="AB1653" s="54">
        <v>110.6906</v>
      </c>
      <c r="AC1653" s="54">
        <v>3.7247052631578952</v>
      </c>
      <c r="AD1653" s="36">
        <v>38.138800000000003</v>
      </c>
    </row>
    <row r="1654" spans="1:30" s="37" customFormat="1" ht="15.75" customHeight="1" x14ac:dyDescent="0.2">
      <c r="A1654" s="26">
        <v>210</v>
      </c>
      <c r="B1654" s="27" t="s">
        <v>579</v>
      </c>
      <c r="C1654" s="27" t="s">
        <v>116</v>
      </c>
      <c r="D1654" s="28">
        <v>0.02</v>
      </c>
      <c r="E1654" s="29">
        <v>20.28</v>
      </c>
      <c r="F1654" s="29">
        <v>6.68</v>
      </c>
      <c r="G1654" s="30" t="s">
        <v>39</v>
      </c>
      <c r="H1654" s="27" t="s">
        <v>71</v>
      </c>
      <c r="I1654" s="27" t="s">
        <v>29</v>
      </c>
      <c r="J1654" s="27" t="s">
        <v>126</v>
      </c>
      <c r="K1654" s="27" t="s">
        <v>73</v>
      </c>
      <c r="L1654" s="31" t="s">
        <v>2741</v>
      </c>
      <c r="M1654" s="32">
        <v>0.53</v>
      </c>
      <c r="N1654" s="27" t="s">
        <v>33</v>
      </c>
      <c r="O1654" s="27" t="s">
        <v>111</v>
      </c>
      <c r="P1654" s="27" t="s">
        <v>112</v>
      </c>
      <c r="Q1654" s="27" t="s">
        <v>581</v>
      </c>
      <c r="R1654" s="33">
        <v>12180</v>
      </c>
      <c r="S1654" s="34">
        <v>42157</v>
      </c>
      <c r="T1654" s="34">
        <v>42157</v>
      </c>
      <c r="U1654" s="29">
        <v>44.677500000000002</v>
      </c>
      <c r="V1654" s="26">
        <v>3</v>
      </c>
      <c r="W1654" s="29">
        <v>64.75</v>
      </c>
      <c r="X1654" s="26">
        <v>85966</v>
      </c>
      <c r="Y1654" s="35">
        <v>20.260000000000002</v>
      </c>
      <c r="Z1654" s="1" t="s">
        <v>3014</v>
      </c>
      <c r="AA1654" s="36">
        <v>1.2168000000000001</v>
      </c>
      <c r="AB1654" s="54">
        <v>30.432499999999997</v>
      </c>
      <c r="AC1654" s="54">
        <v>11.439166666666667</v>
      </c>
      <c r="AD1654" s="36">
        <v>12.175699999999999</v>
      </c>
    </row>
    <row r="1655" spans="1:30" s="37" customFormat="1" ht="15.75" customHeight="1" x14ac:dyDescent="0.2">
      <c r="A1655" s="26">
        <v>144</v>
      </c>
      <c r="B1655" s="27" t="s">
        <v>2736</v>
      </c>
      <c r="C1655" s="27" t="s">
        <v>26</v>
      </c>
      <c r="D1655" s="28">
        <v>0.05</v>
      </c>
      <c r="E1655" s="29">
        <v>10.98</v>
      </c>
      <c r="F1655" s="29">
        <v>3.37</v>
      </c>
      <c r="G1655" s="30" t="s">
        <v>39</v>
      </c>
      <c r="H1655" s="27" t="s">
        <v>3095</v>
      </c>
      <c r="I1655" s="27" t="s">
        <v>49</v>
      </c>
      <c r="J1655" s="27" t="s">
        <v>568</v>
      </c>
      <c r="K1655" s="27" t="s">
        <v>43</v>
      </c>
      <c r="L1655" s="31" t="s">
        <v>2129</v>
      </c>
      <c r="M1655" s="32">
        <v>0.56999999999999995</v>
      </c>
      <c r="N1655" s="27" t="s">
        <v>33</v>
      </c>
      <c r="O1655" s="27" t="s">
        <v>111</v>
      </c>
      <c r="P1655" s="27" t="s">
        <v>403</v>
      </c>
      <c r="Q1655" s="27" t="s">
        <v>2737</v>
      </c>
      <c r="R1655" s="33">
        <v>2664</v>
      </c>
      <c r="S1655" s="34">
        <v>42157</v>
      </c>
      <c r="T1655" s="34">
        <v>42158</v>
      </c>
      <c r="U1655" s="29">
        <v>-2.544</v>
      </c>
      <c r="V1655" s="26">
        <v>6</v>
      </c>
      <c r="W1655" s="29">
        <v>64.400000000000006</v>
      </c>
      <c r="X1655" s="26">
        <v>91087</v>
      </c>
      <c r="Y1655" s="35">
        <v>11.55</v>
      </c>
      <c r="Z1655" s="1" t="s">
        <v>3014</v>
      </c>
      <c r="AA1655" s="36">
        <v>3.2940000000000005</v>
      </c>
      <c r="AB1655" s="54">
        <v>27.692000000000007</v>
      </c>
      <c r="AC1655" s="54">
        <v>6.1180000000000003</v>
      </c>
      <c r="AD1655" s="36">
        <v>60.28</v>
      </c>
    </row>
    <row r="1656" spans="1:30" s="37" customFormat="1" ht="15.75" customHeight="1" x14ac:dyDescent="0.2">
      <c r="A1656" s="26">
        <v>210</v>
      </c>
      <c r="B1656" s="27" t="s">
        <v>579</v>
      </c>
      <c r="C1656" s="27" t="s">
        <v>116</v>
      </c>
      <c r="D1656" s="28">
        <v>0</v>
      </c>
      <c r="E1656" s="29">
        <v>11.55</v>
      </c>
      <c r="F1656" s="29">
        <v>2.36</v>
      </c>
      <c r="G1656" s="30" t="s">
        <v>39</v>
      </c>
      <c r="H1656" s="27" t="s">
        <v>71</v>
      </c>
      <c r="I1656" s="27" t="s">
        <v>49</v>
      </c>
      <c r="J1656" s="27" t="s">
        <v>50</v>
      </c>
      <c r="K1656" s="27" t="s">
        <v>51</v>
      </c>
      <c r="L1656" s="31" t="s">
        <v>380</v>
      </c>
      <c r="M1656" s="32">
        <v>0.55000000000000004</v>
      </c>
      <c r="N1656" s="27" t="s">
        <v>33</v>
      </c>
      <c r="O1656" s="27" t="s">
        <v>111</v>
      </c>
      <c r="P1656" s="27" t="s">
        <v>112</v>
      </c>
      <c r="Q1656" s="27" t="s">
        <v>581</v>
      </c>
      <c r="R1656" s="33">
        <v>12180</v>
      </c>
      <c r="S1656" s="34">
        <v>42157</v>
      </c>
      <c r="T1656" s="34">
        <v>42158</v>
      </c>
      <c r="U1656" s="29">
        <v>23.594999999999999</v>
      </c>
      <c r="V1656" s="26">
        <v>5</v>
      </c>
      <c r="W1656" s="29">
        <v>62.98</v>
      </c>
      <c r="X1656" s="26">
        <v>85966</v>
      </c>
      <c r="Y1656" s="35">
        <v>2.0300000000000002</v>
      </c>
      <c r="Z1656" s="1" t="s">
        <v>3014</v>
      </c>
      <c r="AA1656" s="36">
        <v>0</v>
      </c>
      <c r="AB1656" s="54">
        <v>28.340999999999998</v>
      </c>
      <c r="AC1656" s="54">
        <v>6.9278000000000004</v>
      </c>
      <c r="AD1656" s="36">
        <v>37.024999999999999</v>
      </c>
    </row>
    <row r="1657" spans="1:30" s="37" customFormat="1" ht="15.75" customHeight="1" x14ac:dyDescent="0.2">
      <c r="A1657" s="26">
        <v>2334</v>
      </c>
      <c r="B1657" s="27" t="s">
        <v>2038</v>
      </c>
      <c r="C1657" s="27" t="s">
        <v>48</v>
      </c>
      <c r="D1657" s="28">
        <v>0.06</v>
      </c>
      <c r="E1657" s="29">
        <v>3.74</v>
      </c>
      <c r="F1657" s="29">
        <v>0.94</v>
      </c>
      <c r="G1657" s="30" t="s">
        <v>39</v>
      </c>
      <c r="H1657" s="27" t="s">
        <v>71</v>
      </c>
      <c r="I1657" s="27" t="s">
        <v>49</v>
      </c>
      <c r="J1657" s="27" t="s">
        <v>176</v>
      </c>
      <c r="K1657" s="27" t="s">
        <v>51</v>
      </c>
      <c r="L1657" s="31" t="s">
        <v>2740</v>
      </c>
      <c r="M1657" s="32">
        <v>0.83</v>
      </c>
      <c r="N1657" s="27" t="s">
        <v>33</v>
      </c>
      <c r="O1657" s="27" t="s">
        <v>53</v>
      </c>
      <c r="P1657" s="27" t="s">
        <v>357</v>
      </c>
      <c r="Q1657" s="27" t="s">
        <v>2039</v>
      </c>
      <c r="R1657" s="33">
        <v>53220</v>
      </c>
      <c r="S1657" s="34">
        <v>42157</v>
      </c>
      <c r="T1657" s="34">
        <v>42164</v>
      </c>
      <c r="U1657" s="29">
        <v>-7.6849999999999996</v>
      </c>
      <c r="V1657" s="26">
        <v>12</v>
      </c>
      <c r="W1657" s="29">
        <v>44.75</v>
      </c>
      <c r="X1657" s="26">
        <v>89610</v>
      </c>
      <c r="Y1657" s="35">
        <v>179.28</v>
      </c>
      <c r="Z1657" s="1" t="s">
        <v>3012</v>
      </c>
      <c r="AA1657" s="36">
        <v>2.6928000000000001</v>
      </c>
      <c r="AB1657" s="54">
        <v>7.6075000000000017</v>
      </c>
      <c r="AC1657" s="54">
        <v>3.0952083333333329</v>
      </c>
      <c r="AD1657" s="36">
        <v>48.802199999999999</v>
      </c>
    </row>
    <row r="1658" spans="1:30" s="37" customFormat="1" ht="15.75" customHeight="1" x14ac:dyDescent="0.2">
      <c r="A1658" s="26">
        <v>211</v>
      </c>
      <c r="B1658" s="27" t="s">
        <v>262</v>
      </c>
      <c r="C1658" s="27" t="s">
        <v>116</v>
      </c>
      <c r="D1658" s="28">
        <v>0.05</v>
      </c>
      <c r="E1658" s="29">
        <v>2.08</v>
      </c>
      <c r="F1658" s="29">
        <v>2.56</v>
      </c>
      <c r="G1658" s="30" t="s">
        <v>39</v>
      </c>
      <c r="H1658" s="27" t="s">
        <v>71</v>
      </c>
      <c r="I1658" s="27" t="s">
        <v>49</v>
      </c>
      <c r="J1658" s="27" t="s">
        <v>568</v>
      </c>
      <c r="K1658" s="27" t="s">
        <v>43</v>
      </c>
      <c r="L1658" s="31" t="s">
        <v>1167</v>
      </c>
      <c r="M1658" s="32">
        <v>0.55000000000000004</v>
      </c>
      <c r="N1658" s="27" t="s">
        <v>33</v>
      </c>
      <c r="O1658" s="27" t="s">
        <v>111</v>
      </c>
      <c r="P1658" s="27" t="s">
        <v>112</v>
      </c>
      <c r="Q1658" s="27" t="s">
        <v>263</v>
      </c>
      <c r="R1658" s="33">
        <v>13501</v>
      </c>
      <c r="S1658" s="34">
        <v>42157</v>
      </c>
      <c r="T1658" s="34">
        <v>42158</v>
      </c>
      <c r="U1658" s="29">
        <v>-36.25</v>
      </c>
      <c r="V1658" s="26">
        <v>20</v>
      </c>
      <c r="W1658" s="29">
        <v>42.29</v>
      </c>
      <c r="X1658" s="26">
        <v>85966</v>
      </c>
      <c r="Y1658" s="35">
        <v>9.69</v>
      </c>
      <c r="Z1658" s="1" t="s">
        <v>3014</v>
      </c>
      <c r="AA1658" s="36">
        <v>2.08</v>
      </c>
      <c r="AB1658" s="54">
        <v>19.030499999999996</v>
      </c>
      <c r="AC1658" s="54">
        <v>1.1629750000000001</v>
      </c>
      <c r="AD1658" s="36">
        <v>73.900000000000006</v>
      </c>
    </row>
    <row r="1659" spans="1:30" s="37" customFormat="1" ht="15.75" customHeight="1" x14ac:dyDescent="0.2">
      <c r="A1659" s="26">
        <v>1997</v>
      </c>
      <c r="B1659" s="27" t="s">
        <v>774</v>
      </c>
      <c r="C1659" s="27" t="s">
        <v>48</v>
      </c>
      <c r="D1659" s="28">
        <v>0</v>
      </c>
      <c r="E1659" s="29">
        <v>24.92</v>
      </c>
      <c r="F1659" s="29">
        <v>12.98</v>
      </c>
      <c r="G1659" s="30" t="s">
        <v>39</v>
      </c>
      <c r="H1659" s="27" t="s">
        <v>40</v>
      </c>
      <c r="I1659" s="27" t="s">
        <v>49</v>
      </c>
      <c r="J1659" s="27" t="s">
        <v>72</v>
      </c>
      <c r="K1659" s="27" t="s">
        <v>73</v>
      </c>
      <c r="L1659" s="31" t="s">
        <v>1731</v>
      </c>
      <c r="M1659" s="32">
        <v>0.39</v>
      </c>
      <c r="N1659" s="27" t="s">
        <v>33</v>
      </c>
      <c r="O1659" s="27" t="s">
        <v>34</v>
      </c>
      <c r="P1659" s="27" t="s">
        <v>271</v>
      </c>
      <c r="Q1659" s="27" t="s">
        <v>272</v>
      </c>
      <c r="R1659" s="33">
        <v>29915</v>
      </c>
      <c r="S1659" s="34">
        <v>42157</v>
      </c>
      <c r="T1659" s="34">
        <v>42157</v>
      </c>
      <c r="U1659" s="29">
        <v>-23.155999999999999</v>
      </c>
      <c r="V1659" s="26">
        <v>1</v>
      </c>
      <c r="W1659" s="29">
        <v>32.659999999999997</v>
      </c>
      <c r="X1659" s="26">
        <v>90335</v>
      </c>
      <c r="Y1659" s="35">
        <v>200.99</v>
      </c>
      <c r="Z1659" s="1" t="s">
        <v>3011</v>
      </c>
      <c r="AA1659" s="36">
        <v>0</v>
      </c>
      <c r="AB1659" s="54">
        <v>19.922599999999999</v>
      </c>
      <c r="AC1659" s="54">
        <v>12.737399999999999</v>
      </c>
      <c r="AD1659" s="36">
        <v>42.835999999999999</v>
      </c>
    </row>
    <row r="1660" spans="1:30" s="37" customFormat="1" ht="15.75" customHeight="1" x14ac:dyDescent="0.2">
      <c r="A1660" s="26">
        <v>210</v>
      </c>
      <c r="B1660" s="27" t="s">
        <v>579</v>
      </c>
      <c r="C1660" s="27" t="s">
        <v>116</v>
      </c>
      <c r="D1660" s="28">
        <v>0.09</v>
      </c>
      <c r="E1660" s="29">
        <v>5.4</v>
      </c>
      <c r="F1660" s="29">
        <v>7.78</v>
      </c>
      <c r="G1660" s="30" t="s">
        <v>87</v>
      </c>
      <c r="H1660" s="27" t="s">
        <v>71</v>
      </c>
      <c r="I1660" s="27" t="s">
        <v>49</v>
      </c>
      <c r="J1660" s="27" t="s">
        <v>72</v>
      </c>
      <c r="K1660" s="27" t="s">
        <v>73</v>
      </c>
      <c r="L1660" s="31" t="s">
        <v>1484</v>
      </c>
      <c r="M1660" s="32">
        <v>0.37</v>
      </c>
      <c r="N1660" s="27" t="s">
        <v>33</v>
      </c>
      <c r="O1660" s="27" t="s">
        <v>111</v>
      </c>
      <c r="P1660" s="27" t="s">
        <v>112</v>
      </c>
      <c r="Q1660" s="27" t="s">
        <v>581</v>
      </c>
      <c r="R1660" s="33">
        <v>12180</v>
      </c>
      <c r="S1660" s="34">
        <v>42157</v>
      </c>
      <c r="T1660" s="34">
        <v>42157</v>
      </c>
      <c r="U1660" s="29">
        <v>-21.487749999999998</v>
      </c>
      <c r="V1660" s="26">
        <v>4</v>
      </c>
      <c r="W1660" s="29">
        <v>27.3</v>
      </c>
      <c r="X1660" s="26">
        <v>85966</v>
      </c>
      <c r="Y1660" s="35">
        <v>136.95999999999998</v>
      </c>
      <c r="Z1660" s="1" t="s">
        <v>3014</v>
      </c>
      <c r="AA1660" s="36">
        <v>1.944</v>
      </c>
      <c r="AB1660" s="54">
        <v>17.199000000000002</v>
      </c>
      <c r="AC1660" s="54">
        <v>2.5252500000000002</v>
      </c>
      <c r="AD1660" s="36">
        <v>39.063749999999999</v>
      </c>
    </row>
    <row r="1661" spans="1:30" s="37" customFormat="1" ht="15.75" customHeight="1" x14ac:dyDescent="0.2">
      <c r="A1661" s="26">
        <v>2268</v>
      </c>
      <c r="B1661" s="27" t="s">
        <v>2748</v>
      </c>
      <c r="C1661" s="27" t="s">
        <v>48</v>
      </c>
      <c r="D1661" s="28">
        <v>0.08</v>
      </c>
      <c r="E1661" s="29">
        <v>259.70999999999998</v>
      </c>
      <c r="F1661" s="29">
        <v>66.67</v>
      </c>
      <c r="G1661" s="30" t="s">
        <v>27</v>
      </c>
      <c r="H1661" s="27" t="s">
        <v>3095</v>
      </c>
      <c r="I1661" s="27" t="s">
        <v>29</v>
      </c>
      <c r="J1661" s="27" t="s">
        <v>30</v>
      </c>
      <c r="K1661" s="27" t="s">
        <v>31</v>
      </c>
      <c r="L1661" s="31" t="s">
        <v>1026</v>
      </c>
      <c r="M1661" s="32">
        <v>0.61</v>
      </c>
      <c r="N1661" s="27" t="s">
        <v>33</v>
      </c>
      <c r="O1661" s="27" t="s">
        <v>34</v>
      </c>
      <c r="P1661" s="27" t="s">
        <v>123</v>
      </c>
      <c r="Q1661" s="27" t="s">
        <v>2749</v>
      </c>
      <c r="R1661" s="33">
        <v>34639</v>
      </c>
      <c r="S1661" s="34">
        <v>42158</v>
      </c>
      <c r="T1661" s="34">
        <v>42162</v>
      </c>
      <c r="U1661" s="29">
        <v>138.22200000000001</v>
      </c>
      <c r="V1661" s="26">
        <v>17</v>
      </c>
      <c r="W1661" s="29">
        <v>4086.5</v>
      </c>
      <c r="X1661" s="26">
        <v>89571</v>
      </c>
      <c r="Y1661" s="35">
        <v>2.52</v>
      </c>
      <c r="Z1661" s="1" t="s">
        <v>3011</v>
      </c>
      <c r="AA1661" s="36">
        <v>353.20559999999995</v>
      </c>
      <c r="AB1661" s="54">
        <v>1593.7350000000001</v>
      </c>
      <c r="AC1661" s="54">
        <v>146.63323529411764</v>
      </c>
      <c r="AD1661" s="36">
        <v>3528.4023999999999</v>
      </c>
    </row>
    <row r="1662" spans="1:30" s="37" customFormat="1" ht="15.75" customHeight="1" x14ac:dyDescent="0.2">
      <c r="A1662" s="26">
        <v>87</v>
      </c>
      <c r="B1662" s="27" t="s">
        <v>1786</v>
      </c>
      <c r="C1662" s="27" t="s">
        <v>48</v>
      </c>
      <c r="D1662" s="28">
        <v>0.05</v>
      </c>
      <c r="E1662" s="29">
        <v>161.55000000000001</v>
      </c>
      <c r="F1662" s="29">
        <v>19.989999999999998</v>
      </c>
      <c r="G1662" s="30" t="s">
        <v>39</v>
      </c>
      <c r="H1662" s="27" t="s">
        <v>94</v>
      </c>
      <c r="I1662" s="27" t="s">
        <v>49</v>
      </c>
      <c r="J1662" s="27" t="s">
        <v>78</v>
      </c>
      <c r="K1662" s="27" t="s">
        <v>73</v>
      </c>
      <c r="L1662" s="31" t="s">
        <v>79</v>
      </c>
      <c r="M1662" s="32">
        <v>0.66</v>
      </c>
      <c r="N1662" s="27" t="s">
        <v>33</v>
      </c>
      <c r="O1662" s="27" t="s">
        <v>60</v>
      </c>
      <c r="P1662" s="27" t="s">
        <v>90</v>
      </c>
      <c r="Q1662" s="27" t="s">
        <v>1787</v>
      </c>
      <c r="R1662" s="33">
        <v>95687</v>
      </c>
      <c r="S1662" s="34">
        <v>42158</v>
      </c>
      <c r="T1662" s="34">
        <v>42163</v>
      </c>
      <c r="U1662" s="29">
        <v>1892.424</v>
      </c>
      <c r="V1662" s="26">
        <v>19</v>
      </c>
      <c r="W1662" s="29">
        <v>3127.69</v>
      </c>
      <c r="X1662" s="26">
        <v>90596</v>
      </c>
      <c r="Y1662" s="35">
        <v>161.5</v>
      </c>
      <c r="Z1662" s="1" t="s">
        <v>3013</v>
      </c>
      <c r="AA1662" s="36">
        <v>153.47250000000003</v>
      </c>
      <c r="AB1662" s="54">
        <v>1063.4145999999998</v>
      </c>
      <c r="AC1662" s="54">
        <v>108.64607368421052</v>
      </c>
      <c r="AD1662" s="36">
        <v>1061.8035</v>
      </c>
    </row>
    <row r="1663" spans="1:30" s="37" customFormat="1" ht="15.75" customHeight="1" x14ac:dyDescent="0.2">
      <c r="A1663" s="26">
        <v>3151</v>
      </c>
      <c r="B1663" s="27" t="s">
        <v>953</v>
      </c>
      <c r="C1663" s="27" t="s">
        <v>3094</v>
      </c>
      <c r="D1663" s="28">
        <v>0.01</v>
      </c>
      <c r="E1663" s="29">
        <v>145.97999999999999</v>
      </c>
      <c r="F1663" s="29">
        <v>46.2</v>
      </c>
      <c r="G1663" s="30" t="s">
        <v>27</v>
      </c>
      <c r="H1663" s="27" t="s">
        <v>94</v>
      </c>
      <c r="I1663" s="27" t="s">
        <v>29</v>
      </c>
      <c r="J1663" s="27" t="s">
        <v>30</v>
      </c>
      <c r="K1663" s="27" t="s">
        <v>31</v>
      </c>
      <c r="L1663" s="31" t="s">
        <v>2756</v>
      </c>
      <c r="M1663" s="32">
        <v>0.69</v>
      </c>
      <c r="N1663" s="27" t="s">
        <v>33</v>
      </c>
      <c r="O1663" s="27" t="s">
        <v>60</v>
      </c>
      <c r="P1663" s="27" t="s">
        <v>90</v>
      </c>
      <c r="Q1663" s="27" t="s">
        <v>954</v>
      </c>
      <c r="R1663" s="33">
        <v>92277</v>
      </c>
      <c r="S1663" s="34">
        <v>42158</v>
      </c>
      <c r="T1663" s="34">
        <v>42158</v>
      </c>
      <c r="U1663" s="29">
        <v>-134.512</v>
      </c>
      <c r="V1663" s="26">
        <v>9</v>
      </c>
      <c r="W1663" s="29">
        <v>1370.79</v>
      </c>
      <c r="X1663" s="26">
        <v>88543</v>
      </c>
      <c r="Y1663" s="35">
        <v>259.63</v>
      </c>
      <c r="Z1663" s="1" t="s">
        <v>3013</v>
      </c>
      <c r="AA1663" s="36">
        <v>13.138199999999999</v>
      </c>
      <c r="AB1663" s="54">
        <v>424.94490000000008</v>
      </c>
      <c r="AC1663" s="54">
        <v>105.09389999999999</v>
      </c>
      <c r="AD1663" s="36">
        <v>1445.9638</v>
      </c>
    </row>
    <row r="1664" spans="1:30" s="37" customFormat="1" ht="15.75" customHeight="1" x14ac:dyDescent="0.2">
      <c r="A1664" s="26">
        <v>1357</v>
      </c>
      <c r="B1664" s="27" t="s">
        <v>2750</v>
      </c>
      <c r="C1664" s="27" t="s">
        <v>116</v>
      </c>
      <c r="D1664" s="28">
        <v>0.03</v>
      </c>
      <c r="E1664" s="29">
        <v>125.99</v>
      </c>
      <c r="F1664" s="29">
        <v>7.69</v>
      </c>
      <c r="G1664" s="30" t="s">
        <v>39</v>
      </c>
      <c r="H1664" s="27" t="s">
        <v>71</v>
      </c>
      <c r="I1664" s="27" t="s">
        <v>41</v>
      </c>
      <c r="J1664" s="27" t="s">
        <v>135</v>
      </c>
      <c r="K1664" s="27" t="s">
        <v>73</v>
      </c>
      <c r="L1664" s="31" t="s">
        <v>1049</v>
      </c>
      <c r="M1664" s="32">
        <v>0.57999999999999996</v>
      </c>
      <c r="N1664" s="27" t="s">
        <v>33</v>
      </c>
      <c r="O1664" s="27" t="s">
        <v>53</v>
      </c>
      <c r="P1664" s="27" t="s">
        <v>187</v>
      </c>
      <c r="Q1664" s="27" t="s">
        <v>2751</v>
      </c>
      <c r="R1664" s="33">
        <v>78596</v>
      </c>
      <c r="S1664" s="34">
        <v>42158</v>
      </c>
      <c r="T1664" s="34">
        <v>42160</v>
      </c>
      <c r="U1664" s="29">
        <v>500.95800000000003</v>
      </c>
      <c r="V1664" s="26">
        <v>9</v>
      </c>
      <c r="W1664" s="29">
        <v>981.65</v>
      </c>
      <c r="X1664" s="26">
        <v>88184</v>
      </c>
      <c r="Y1664" s="35">
        <v>125.96</v>
      </c>
      <c r="Z1664" s="1" t="s">
        <v>3012</v>
      </c>
      <c r="AA1664" s="36">
        <v>34.017299999999999</v>
      </c>
      <c r="AB1664" s="54">
        <v>412.29300000000001</v>
      </c>
      <c r="AC1664" s="54">
        <v>63.261888888888883</v>
      </c>
      <c r="AD1664" s="36">
        <v>438.98469999999998</v>
      </c>
    </row>
    <row r="1665" spans="1:30" s="37" customFormat="1" ht="15.75" customHeight="1" x14ac:dyDescent="0.2">
      <c r="A1665" s="26">
        <v>1737</v>
      </c>
      <c r="B1665" s="27" t="s">
        <v>2752</v>
      </c>
      <c r="C1665" s="27" t="s">
        <v>3094</v>
      </c>
      <c r="D1665" s="28">
        <v>0.09</v>
      </c>
      <c r="E1665" s="29">
        <v>30.93</v>
      </c>
      <c r="F1665" s="29">
        <v>3.92</v>
      </c>
      <c r="G1665" s="30" t="s">
        <v>39</v>
      </c>
      <c r="H1665" s="27" t="s">
        <v>94</v>
      </c>
      <c r="I1665" s="27" t="s">
        <v>29</v>
      </c>
      <c r="J1665" s="27" t="s">
        <v>126</v>
      </c>
      <c r="K1665" s="27" t="s">
        <v>43</v>
      </c>
      <c r="L1665" s="31" t="s">
        <v>1651</v>
      </c>
      <c r="M1665" s="32">
        <v>0.44</v>
      </c>
      <c r="N1665" s="27" t="s">
        <v>33</v>
      </c>
      <c r="O1665" s="27" t="s">
        <v>34</v>
      </c>
      <c r="P1665" s="27" t="s">
        <v>97</v>
      </c>
      <c r="Q1665" s="27" t="s">
        <v>1554</v>
      </c>
      <c r="R1665" s="33">
        <v>27529</v>
      </c>
      <c r="S1665" s="34">
        <v>42158</v>
      </c>
      <c r="T1665" s="34">
        <v>42160</v>
      </c>
      <c r="U1665" s="29">
        <v>-130.42400000000001</v>
      </c>
      <c r="V1665" s="26">
        <v>16</v>
      </c>
      <c r="W1665" s="29">
        <v>451.83</v>
      </c>
      <c r="X1665" s="26">
        <v>85866</v>
      </c>
      <c r="Y1665" s="35">
        <v>30.84</v>
      </c>
      <c r="Z1665" s="1" t="s">
        <v>3011</v>
      </c>
      <c r="AA1665" s="36">
        <v>44.539200000000001</v>
      </c>
      <c r="AB1665" s="54">
        <v>253.02480000000003</v>
      </c>
      <c r="AC1665" s="54">
        <v>12.425324999999999</v>
      </c>
      <c r="AD1665" s="36">
        <v>533.79480000000001</v>
      </c>
    </row>
    <row r="1666" spans="1:30" s="37" customFormat="1" ht="15.75" customHeight="1" x14ac:dyDescent="0.2">
      <c r="A1666" s="26">
        <v>1389</v>
      </c>
      <c r="B1666" s="27" t="s">
        <v>769</v>
      </c>
      <c r="C1666" s="27" t="s">
        <v>38</v>
      </c>
      <c r="D1666" s="28">
        <v>0.09</v>
      </c>
      <c r="E1666" s="29">
        <v>2.61</v>
      </c>
      <c r="F1666" s="29">
        <v>0.5</v>
      </c>
      <c r="G1666" s="30" t="s">
        <v>39</v>
      </c>
      <c r="H1666" s="27" t="s">
        <v>40</v>
      </c>
      <c r="I1666" s="27" t="s">
        <v>49</v>
      </c>
      <c r="J1666" s="27" t="s">
        <v>152</v>
      </c>
      <c r="K1666" s="27" t="s">
        <v>73</v>
      </c>
      <c r="L1666" s="31" t="s">
        <v>1367</v>
      </c>
      <c r="M1666" s="32">
        <v>0.39</v>
      </c>
      <c r="N1666" s="27" t="s">
        <v>33</v>
      </c>
      <c r="O1666" s="27" t="s">
        <v>60</v>
      </c>
      <c r="P1666" s="27" t="s">
        <v>90</v>
      </c>
      <c r="Q1666" s="27" t="s">
        <v>771</v>
      </c>
      <c r="R1666" s="33">
        <v>94025</v>
      </c>
      <c r="S1666" s="34">
        <v>42158</v>
      </c>
      <c r="T1666" s="34">
        <v>42160</v>
      </c>
      <c r="U1666" s="29">
        <v>29.380199999999999</v>
      </c>
      <c r="V1666" s="26">
        <v>17</v>
      </c>
      <c r="W1666" s="29">
        <v>42.58</v>
      </c>
      <c r="X1666" s="26">
        <v>88729</v>
      </c>
      <c r="Y1666" s="35">
        <v>1.65</v>
      </c>
      <c r="Z1666" s="1" t="s">
        <v>3013</v>
      </c>
      <c r="AA1666" s="36">
        <v>3.9932999999999996</v>
      </c>
      <c r="AB1666" s="54">
        <v>25.973799999999997</v>
      </c>
      <c r="AC1666" s="54">
        <v>0.97683529411764702</v>
      </c>
      <c r="AD1666" s="36">
        <v>8.7064999999999984</v>
      </c>
    </row>
    <row r="1667" spans="1:30" s="37" customFormat="1" ht="15.75" customHeight="1" x14ac:dyDescent="0.2">
      <c r="A1667" s="26">
        <v>1737</v>
      </c>
      <c r="B1667" s="27" t="s">
        <v>2752</v>
      </c>
      <c r="C1667" s="27" t="s">
        <v>3094</v>
      </c>
      <c r="D1667" s="28">
        <v>0.03</v>
      </c>
      <c r="E1667" s="29">
        <v>1.68</v>
      </c>
      <c r="F1667" s="29">
        <v>0.7</v>
      </c>
      <c r="G1667" s="30" t="s">
        <v>87</v>
      </c>
      <c r="H1667" s="27" t="s">
        <v>94</v>
      </c>
      <c r="I1667" s="27" t="s">
        <v>49</v>
      </c>
      <c r="J1667" s="27" t="s">
        <v>50</v>
      </c>
      <c r="K1667" s="27" t="s">
        <v>51</v>
      </c>
      <c r="L1667" s="31" t="s">
        <v>2753</v>
      </c>
      <c r="M1667" s="32">
        <v>0.6</v>
      </c>
      <c r="N1667" s="27" t="s">
        <v>33</v>
      </c>
      <c r="O1667" s="27" t="s">
        <v>34</v>
      </c>
      <c r="P1667" s="27" t="s">
        <v>97</v>
      </c>
      <c r="Q1667" s="27" t="s">
        <v>1554</v>
      </c>
      <c r="R1667" s="33">
        <v>27529</v>
      </c>
      <c r="S1667" s="34">
        <v>42158</v>
      </c>
      <c r="T1667" s="34">
        <v>42160</v>
      </c>
      <c r="U1667" s="29">
        <v>-106.42100000000001</v>
      </c>
      <c r="V1667" s="26">
        <v>11</v>
      </c>
      <c r="W1667" s="29">
        <v>20.239999999999998</v>
      </c>
      <c r="X1667" s="26">
        <v>85866</v>
      </c>
      <c r="Y1667" s="35">
        <v>4.3600000000000003</v>
      </c>
      <c r="Z1667" s="1" t="s">
        <v>3011</v>
      </c>
      <c r="AA1667" s="36">
        <v>0.55439999999999989</v>
      </c>
      <c r="AB1667" s="54">
        <v>8.0960000000000001</v>
      </c>
      <c r="AC1667" s="54">
        <v>1.1039999999999999</v>
      </c>
      <c r="AD1667" s="36">
        <v>125.4066</v>
      </c>
    </row>
    <row r="1668" spans="1:30" s="37" customFormat="1" ht="15.75" customHeight="1" x14ac:dyDescent="0.2">
      <c r="A1668" s="26">
        <v>1998</v>
      </c>
      <c r="B1668" s="27" t="s">
        <v>2754</v>
      </c>
      <c r="C1668" s="27" t="s">
        <v>3094</v>
      </c>
      <c r="D1668" s="28">
        <v>0.06</v>
      </c>
      <c r="E1668" s="29">
        <v>4.42</v>
      </c>
      <c r="F1668" s="29">
        <v>4.99</v>
      </c>
      <c r="G1668" s="30" t="s">
        <v>39</v>
      </c>
      <c r="H1668" s="27" t="s">
        <v>94</v>
      </c>
      <c r="I1668" s="27" t="s">
        <v>49</v>
      </c>
      <c r="J1668" s="27" t="s">
        <v>345</v>
      </c>
      <c r="K1668" s="27" t="s">
        <v>73</v>
      </c>
      <c r="L1668" s="31" t="s">
        <v>2072</v>
      </c>
      <c r="M1668" s="32">
        <v>0.38</v>
      </c>
      <c r="N1668" s="27" t="s">
        <v>33</v>
      </c>
      <c r="O1668" s="27" t="s">
        <v>111</v>
      </c>
      <c r="P1668" s="27" t="s">
        <v>112</v>
      </c>
      <c r="Q1668" s="27" t="s">
        <v>2755</v>
      </c>
      <c r="R1668" s="33">
        <v>11758</v>
      </c>
      <c r="S1668" s="34">
        <v>42158</v>
      </c>
      <c r="T1668" s="34">
        <v>42160</v>
      </c>
      <c r="U1668" s="29">
        <v>-10.435</v>
      </c>
      <c r="V1668" s="26">
        <v>3</v>
      </c>
      <c r="W1668" s="29">
        <v>14.85</v>
      </c>
      <c r="X1668" s="26">
        <v>90568</v>
      </c>
      <c r="Y1668" s="35">
        <v>145.97</v>
      </c>
      <c r="Z1668" s="1" t="s">
        <v>3014</v>
      </c>
      <c r="AA1668" s="36">
        <v>0.79559999999999997</v>
      </c>
      <c r="AB1668" s="54">
        <v>9.206999999999999</v>
      </c>
      <c r="AC1668" s="54">
        <v>1.881</v>
      </c>
      <c r="AD1668" s="36">
        <v>19.499400000000001</v>
      </c>
    </row>
    <row r="1669" spans="1:30" s="37" customFormat="1" ht="15.75" customHeight="1" x14ac:dyDescent="0.2">
      <c r="A1669" s="26">
        <v>1233</v>
      </c>
      <c r="B1669" s="27" t="s">
        <v>2097</v>
      </c>
      <c r="C1669" s="27" t="s">
        <v>38</v>
      </c>
      <c r="D1669" s="28">
        <v>0.04</v>
      </c>
      <c r="E1669" s="29">
        <v>205.99</v>
      </c>
      <c r="F1669" s="29">
        <v>5.26</v>
      </c>
      <c r="G1669" s="30" t="s">
        <v>39</v>
      </c>
      <c r="H1669" s="27" t="s">
        <v>40</v>
      </c>
      <c r="I1669" s="27" t="s">
        <v>41</v>
      </c>
      <c r="J1669" s="27" t="s">
        <v>135</v>
      </c>
      <c r="K1669" s="27" t="s">
        <v>73</v>
      </c>
      <c r="L1669" s="31" t="s">
        <v>1552</v>
      </c>
      <c r="M1669" s="32">
        <v>0.56000000000000005</v>
      </c>
      <c r="N1669" s="27" t="s">
        <v>33</v>
      </c>
      <c r="O1669" s="27" t="s">
        <v>53</v>
      </c>
      <c r="P1669" s="27" t="s">
        <v>187</v>
      </c>
      <c r="Q1669" s="27" t="s">
        <v>2098</v>
      </c>
      <c r="R1669" s="33">
        <v>75028</v>
      </c>
      <c r="S1669" s="34">
        <v>42159</v>
      </c>
      <c r="T1669" s="34">
        <v>42160</v>
      </c>
      <c r="U1669" s="29">
        <v>-0.81399999999999995</v>
      </c>
      <c r="V1669" s="26">
        <v>6</v>
      </c>
      <c r="W1669" s="29">
        <v>1018.61</v>
      </c>
      <c r="X1669" s="26">
        <v>89376</v>
      </c>
      <c r="Y1669" s="35">
        <v>218.69</v>
      </c>
      <c r="Z1669" s="1" t="s">
        <v>3012</v>
      </c>
      <c r="AA1669" s="36">
        <v>49.437600000000003</v>
      </c>
      <c r="AB1669" s="54">
        <v>448.18839999999994</v>
      </c>
      <c r="AC1669" s="54">
        <v>95.070266666666683</v>
      </c>
      <c r="AD1669" s="36">
        <v>964.72640000000001</v>
      </c>
    </row>
    <row r="1670" spans="1:30" s="37" customFormat="1" ht="15.75" customHeight="1" x14ac:dyDescent="0.2">
      <c r="A1670" s="26">
        <v>2391</v>
      </c>
      <c r="B1670" s="27" t="s">
        <v>2678</v>
      </c>
      <c r="C1670" s="27" t="s">
        <v>3094</v>
      </c>
      <c r="D1670" s="28">
        <v>0</v>
      </c>
      <c r="E1670" s="29">
        <v>999.99</v>
      </c>
      <c r="F1670" s="29">
        <v>13.99</v>
      </c>
      <c r="G1670" s="30" t="s">
        <v>39</v>
      </c>
      <c r="H1670" s="27" t="s">
        <v>94</v>
      </c>
      <c r="I1670" s="27" t="s">
        <v>41</v>
      </c>
      <c r="J1670" s="27" t="s">
        <v>57</v>
      </c>
      <c r="K1670" s="27" t="s">
        <v>144</v>
      </c>
      <c r="L1670" s="31" t="s">
        <v>1016</v>
      </c>
      <c r="M1670" s="32">
        <v>0.36</v>
      </c>
      <c r="N1670" s="27" t="s">
        <v>33</v>
      </c>
      <c r="O1670" s="27" t="s">
        <v>111</v>
      </c>
      <c r="P1670" s="27" t="s">
        <v>112</v>
      </c>
      <c r="Q1670" s="27" t="s">
        <v>2680</v>
      </c>
      <c r="R1670" s="33">
        <v>11572</v>
      </c>
      <c r="S1670" s="34">
        <v>42159</v>
      </c>
      <c r="T1670" s="34">
        <v>42161</v>
      </c>
      <c r="U1670" s="29">
        <v>-1455.9972</v>
      </c>
      <c r="V1670" s="26">
        <v>1</v>
      </c>
      <c r="W1670" s="29">
        <v>1009.99</v>
      </c>
      <c r="X1670" s="26">
        <v>91123</v>
      </c>
      <c r="Y1670" s="35">
        <v>99.899999999999991</v>
      </c>
      <c r="Z1670" s="1" t="s">
        <v>3014</v>
      </c>
      <c r="AA1670" s="36">
        <v>0</v>
      </c>
      <c r="AB1670" s="54">
        <v>646.39359999999999</v>
      </c>
      <c r="AC1670" s="54">
        <v>363.59640000000002</v>
      </c>
      <c r="AD1670" s="36">
        <v>2451.9971999999998</v>
      </c>
    </row>
    <row r="1671" spans="1:30" s="37" customFormat="1" ht="15.75" customHeight="1" x14ac:dyDescent="0.2">
      <c r="A1671" s="26">
        <v>754</v>
      </c>
      <c r="B1671" s="27" t="s">
        <v>2150</v>
      </c>
      <c r="C1671" s="27" t="s">
        <v>38</v>
      </c>
      <c r="D1671" s="28">
        <v>0.06</v>
      </c>
      <c r="E1671" s="29">
        <v>218.75</v>
      </c>
      <c r="F1671" s="29">
        <v>69.64</v>
      </c>
      <c r="G1671" s="30" t="s">
        <v>27</v>
      </c>
      <c r="H1671" s="27" t="s">
        <v>94</v>
      </c>
      <c r="I1671" s="27" t="s">
        <v>29</v>
      </c>
      <c r="J1671" s="27" t="s">
        <v>30</v>
      </c>
      <c r="K1671" s="27" t="s">
        <v>31</v>
      </c>
      <c r="L1671" s="31" t="s">
        <v>874</v>
      </c>
      <c r="M1671" s="32">
        <v>0.77</v>
      </c>
      <c r="N1671" s="27" t="s">
        <v>33</v>
      </c>
      <c r="O1671" s="27" t="s">
        <v>60</v>
      </c>
      <c r="P1671" s="27" t="s">
        <v>588</v>
      </c>
      <c r="Q1671" s="27" t="s">
        <v>2152</v>
      </c>
      <c r="R1671" s="33">
        <v>86314</v>
      </c>
      <c r="S1671" s="34">
        <v>42159</v>
      </c>
      <c r="T1671" s="34">
        <v>42160</v>
      </c>
      <c r="U1671" s="29">
        <v>-453.2</v>
      </c>
      <c r="V1671" s="26">
        <v>4</v>
      </c>
      <c r="W1671" s="29">
        <v>905.4</v>
      </c>
      <c r="X1671" s="26">
        <v>90437</v>
      </c>
      <c r="Y1671" s="35">
        <v>205.95000000000002</v>
      </c>
      <c r="Z1671" s="1" t="s">
        <v>3013</v>
      </c>
      <c r="AA1671" s="36">
        <v>52.5</v>
      </c>
      <c r="AB1671" s="54">
        <v>208.24199999999999</v>
      </c>
      <c r="AC1671" s="54">
        <v>174.2895</v>
      </c>
      <c r="AD1671" s="36">
        <v>1236.46</v>
      </c>
    </row>
    <row r="1672" spans="1:30" s="37" customFormat="1" ht="15.75" customHeight="1" x14ac:dyDescent="0.2">
      <c r="A1672" s="26">
        <v>3238</v>
      </c>
      <c r="B1672" s="27" t="s">
        <v>2757</v>
      </c>
      <c r="C1672" s="27" t="s">
        <v>48</v>
      </c>
      <c r="D1672" s="28">
        <v>0.06</v>
      </c>
      <c r="E1672" s="29">
        <v>115.99</v>
      </c>
      <c r="F1672" s="29">
        <v>5.92</v>
      </c>
      <c r="G1672" s="30" t="s">
        <v>39</v>
      </c>
      <c r="H1672" s="27" t="s">
        <v>94</v>
      </c>
      <c r="I1672" s="27" t="s">
        <v>41</v>
      </c>
      <c r="J1672" s="27" t="s">
        <v>135</v>
      </c>
      <c r="K1672" s="27" t="s">
        <v>73</v>
      </c>
      <c r="L1672" s="31" t="s">
        <v>712</v>
      </c>
      <c r="M1672" s="32">
        <v>0.57999999999999996</v>
      </c>
      <c r="N1672" s="27" t="s">
        <v>33</v>
      </c>
      <c r="O1672" s="27" t="s">
        <v>60</v>
      </c>
      <c r="P1672" s="27" t="s">
        <v>139</v>
      </c>
      <c r="Q1672" s="27" t="s">
        <v>2758</v>
      </c>
      <c r="R1672" s="33">
        <v>97330</v>
      </c>
      <c r="S1672" s="34">
        <v>42159</v>
      </c>
      <c r="T1672" s="34">
        <v>42161</v>
      </c>
      <c r="U1672" s="29">
        <v>-13.068</v>
      </c>
      <c r="V1672" s="26">
        <v>5</v>
      </c>
      <c r="W1672" s="29">
        <v>495.82</v>
      </c>
      <c r="X1672" s="26">
        <v>89564</v>
      </c>
      <c r="Y1672" s="35">
        <v>115.92999999999999</v>
      </c>
      <c r="Z1672" s="1" t="s">
        <v>3013</v>
      </c>
      <c r="AA1672" s="36">
        <v>34.796999999999997</v>
      </c>
      <c r="AB1672" s="54">
        <v>208.24440000000001</v>
      </c>
      <c r="AC1672" s="54">
        <v>57.515119999999996</v>
      </c>
      <c r="AD1672" s="36">
        <v>468.17099999999999</v>
      </c>
    </row>
    <row r="1673" spans="1:30" s="37" customFormat="1" ht="15.75" customHeight="1" x14ac:dyDescent="0.2">
      <c r="A1673" s="26">
        <v>2548</v>
      </c>
      <c r="B1673" s="27" t="s">
        <v>1984</v>
      </c>
      <c r="C1673" s="27" t="s">
        <v>3094</v>
      </c>
      <c r="D1673" s="28">
        <v>0.09</v>
      </c>
      <c r="E1673" s="29">
        <v>5.98</v>
      </c>
      <c r="F1673" s="29">
        <v>1.67</v>
      </c>
      <c r="G1673" s="30" t="s">
        <v>39</v>
      </c>
      <c r="H1673" s="27" t="s">
        <v>3095</v>
      </c>
      <c r="I1673" s="27" t="s">
        <v>49</v>
      </c>
      <c r="J1673" s="27" t="s">
        <v>50</v>
      </c>
      <c r="K1673" s="27" t="s">
        <v>51</v>
      </c>
      <c r="L1673" s="31" t="s">
        <v>2759</v>
      </c>
      <c r="M1673" s="32">
        <v>0.51</v>
      </c>
      <c r="N1673" s="27" t="s">
        <v>33</v>
      </c>
      <c r="O1673" s="27" t="s">
        <v>60</v>
      </c>
      <c r="P1673" s="27" t="s">
        <v>90</v>
      </c>
      <c r="Q1673" s="27" t="s">
        <v>100</v>
      </c>
      <c r="R1673" s="33">
        <v>90068</v>
      </c>
      <c r="S1673" s="34">
        <v>42159</v>
      </c>
      <c r="T1673" s="34">
        <v>42162</v>
      </c>
      <c r="U1673" s="29">
        <v>23.87</v>
      </c>
      <c r="V1673" s="26">
        <v>81</v>
      </c>
      <c r="W1673" s="29">
        <v>448.26</v>
      </c>
      <c r="X1673" s="26">
        <v>29889</v>
      </c>
      <c r="Y1673" s="35">
        <v>999.99</v>
      </c>
      <c r="Z1673" s="1" t="s">
        <v>3013</v>
      </c>
      <c r="AA1673" s="36">
        <v>43.594200000000001</v>
      </c>
      <c r="AB1673" s="54">
        <v>219.6474</v>
      </c>
      <c r="AC1673" s="54">
        <v>2.8223777777777781</v>
      </c>
      <c r="AD1673" s="36">
        <v>379.12580000000003</v>
      </c>
    </row>
    <row r="1674" spans="1:30" s="37" customFormat="1" ht="15.75" customHeight="1" x14ac:dyDescent="0.2">
      <c r="A1674" s="26">
        <v>2549</v>
      </c>
      <c r="B1674" s="27" t="s">
        <v>2251</v>
      </c>
      <c r="C1674" s="27" t="s">
        <v>3094</v>
      </c>
      <c r="D1674" s="28">
        <v>0.09</v>
      </c>
      <c r="E1674" s="29">
        <v>5.98</v>
      </c>
      <c r="F1674" s="29">
        <v>1.67</v>
      </c>
      <c r="G1674" s="30" t="s">
        <v>39</v>
      </c>
      <c r="H1674" s="27" t="s">
        <v>3095</v>
      </c>
      <c r="I1674" s="27" t="s">
        <v>49</v>
      </c>
      <c r="J1674" s="27" t="s">
        <v>50</v>
      </c>
      <c r="K1674" s="27" t="s">
        <v>51</v>
      </c>
      <c r="L1674" s="31" t="s">
        <v>2759</v>
      </c>
      <c r="M1674" s="32">
        <v>0.51</v>
      </c>
      <c r="N1674" s="27" t="s">
        <v>33</v>
      </c>
      <c r="O1674" s="27" t="s">
        <v>111</v>
      </c>
      <c r="P1674" s="27" t="s">
        <v>317</v>
      </c>
      <c r="Q1674" s="27" t="s">
        <v>2252</v>
      </c>
      <c r="R1674" s="33">
        <v>43213</v>
      </c>
      <c r="S1674" s="34">
        <v>42159</v>
      </c>
      <c r="T1674" s="34">
        <v>42162</v>
      </c>
      <c r="U1674" s="29">
        <v>35.805</v>
      </c>
      <c r="V1674" s="26">
        <v>20</v>
      </c>
      <c r="W1674" s="29">
        <v>110.68</v>
      </c>
      <c r="X1674" s="26">
        <v>88658</v>
      </c>
      <c r="Y1674" s="35">
        <v>6.4300000000000006</v>
      </c>
      <c r="Z1674" s="1" t="s">
        <v>3014</v>
      </c>
      <c r="AA1674" s="36">
        <v>10.763999999999999</v>
      </c>
      <c r="AB1674" s="54">
        <v>54.233200000000004</v>
      </c>
      <c r="AC1674" s="54">
        <v>2.8223400000000005</v>
      </c>
      <c r="AD1674" s="36">
        <v>62.441000000000003</v>
      </c>
    </row>
    <row r="1675" spans="1:30" s="37" customFormat="1" ht="15.75" customHeight="1" x14ac:dyDescent="0.2">
      <c r="A1675" s="26">
        <v>1233</v>
      </c>
      <c r="B1675" s="27" t="s">
        <v>2097</v>
      </c>
      <c r="C1675" s="27" t="s">
        <v>38</v>
      </c>
      <c r="D1675" s="28">
        <v>0.09</v>
      </c>
      <c r="E1675" s="29">
        <v>99.99</v>
      </c>
      <c r="F1675" s="29">
        <v>19.989999999999998</v>
      </c>
      <c r="G1675" s="30" t="s">
        <v>39</v>
      </c>
      <c r="H1675" s="27" t="s">
        <v>40</v>
      </c>
      <c r="I1675" s="27" t="s">
        <v>41</v>
      </c>
      <c r="J1675" s="27" t="s">
        <v>42</v>
      </c>
      <c r="K1675" s="27" t="s">
        <v>73</v>
      </c>
      <c r="L1675" s="31" t="s">
        <v>1580</v>
      </c>
      <c r="M1675" s="32">
        <v>0.52</v>
      </c>
      <c r="N1675" s="27" t="s">
        <v>33</v>
      </c>
      <c r="O1675" s="27" t="s">
        <v>53</v>
      </c>
      <c r="P1675" s="27" t="s">
        <v>187</v>
      </c>
      <c r="Q1675" s="27" t="s">
        <v>2098</v>
      </c>
      <c r="R1675" s="33">
        <v>75028</v>
      </c>
      <c r="S1675" s="34">
        <v>42159</v>
      </c>
      <c r="T1675" s="34">
        <v>42161</v>
      </c>
      <c r="U1675" s="29">
        <v>-161.47499999999999</v>
      </c>
      <c r="V1675" s="26">
        <v>1</v>
      </c>
      <c r="W1675" s="29">
        <v>97.65</v>
      </c>
      <c r="X1675" s="26">
        <v>89376</v>
      </c>
      <c r="Y1675" s="35">
        <v>5.8900000000000006</v>
      </c>
      <c r="Z1675" s="1" t="s">
        <v>3012</v>
      </c>
      <c r="AA1675" s="36">
        <v>8.9990999999999985</v>
      </c>
      <c r="AB1675" s="54">
        <v>46.872</v>
      </c>
      <c r="AC1675" s="54">
        <v>50.778000000000006</v>
      </c>
      <c r="AD1675" s="36">
        <v>230.13589999999999</v>
      </c>
    </row>
    <row r="1676" spans="1:30" s="37" customFormat="1" ht="15.75" customHeight="1" x14ac:dyDescent="0.2">
      <c r="A1676" s="26">
        <v>2391</v>
      </c>
      <c r="B1676" s="27" t="s">
        <v>2678</v>
      </c>
      <c r="C1676" s="27" t="s">
        <v>3094</v>
      </c>
      <c r="D1676" s="28">
        <v>0.05</v>
      </c>
      <c r="E1676" s="29">
        <v>6.48</v>
      </c>
      <c r="F1676" s="29">
        <v>5.14</v>
      </c>
      <c r="G1676" s="30" t="s">
        <v>87</v>
      </c>
      <c r="H1676" s="27" t="s">
        <v>94</v>
      </c>
      <c r="I1676" s="27" t="s">
        <v>49</v>
      </c>
      <c r="J1676" s="27" t="s">
        <v>88</v>
      </c>
      <c r="K1676" s="27" t="s">
        <v>73</v>
      </c>
      <c r="L1676" s="31" t="s">
        <v>1745</v>
      </c>
      <c r="M1676" s="32">
        <v>0.37</v>
      </c>
      <c r="N1676" s="27" t="s">
        <v>33</v>
      </c>
      <c r="O1676" s="27" t="s">
        <v>111</v>
      </c>
      <c r="P1676" s="27" t="s">
        <v>112</v>
      </c>
      <c r="Q1676" s="27" t="s">
        <v>2680</v>
      </c>
      <c r="R1676" s="33">
        <v>11572</v>
      </c>
      <c r="S1676" s="34">
        <v>42159</v>
      </c>
      <c r="T1676" s="34">
        <v>42160</v>
      </c>
      <c r="U1676" s="29">
        <v>-22.56</v>
      </c>
      <c r="V1676" s="26">
        <v>13</v>
      </c>
      <c r="W1676" s="29">
        <v>92.16</v>
      </c>
      <c r="X1676" s="26">
        <v>91123</v>
      </c>
      <c r="Y1676" s="35">
        <v>5.8900000000000006</v>
      </c>
      <c r="Z1676" s="1" t="s">
        <v>3014</v>
      </c>
      <c r="AA1676" s="36">
        <v>4.2120000000000006</v>
      </c>
      <c r="AB1676" s="54">
        <v>58.0608</v>
      </c>
      <c r="AC1676" s="54">
        <v>2.6230153846153845</v>
      </c>
      <c r="AD1676" s="36">
        <v>105.36799999999999</v>
      </c>
    </row>
    <row r="1677" spans="1:30" s="37" customFormat="1" ht="15.75" customHeight="1" x14ac:dyDescent="0.2">
      <c r="A1677" s="26">
        <v>2507</v>
      </c>
      <c r="B1677" s="27" t="s">
        <v>2767</v>
      </c>
      <c r="C1677" s="27" t="s">
        <v>116</v>
      </c>
      <c r="D1677" s="28">
        <v>0.06</v>
      </c>
      <c r="E1677" s="29">
        <v>699.99</v>
      </c>
      <c r="F1677" s="29">
        <v>24.49</v>
      </c>
      <c r="G1677" s="30" t="s">
        <v>87</v>
      </c>
      <c r="H1677" s="27" t="s">
        <v>71</v>
      </c>
      <c r="I1677" s="27" t="s">
        <v>41</v>
      </c>
      <c r="J1677" s="27" t="s">
        <v>64</v>
      </c>
      <c r="K1677" s="27" t="s">
        <v>65</v>
      </c>
      <c r="L1677" s="31" t="s">
        <v>313</v>
      </c>
      <c r="M1677" s="32">
        <v>0.41</v>
      </c>
      <c r="N1677" s="27" t="s">
        <v>33</v>
      </c>
      <c r="O1677" s="27" t="s">
        <v>111</v>
      </c>
      <c r="P1677" s="27" t="s">
        <v>331</v>
      </c>
      <c r="Q1677" s="27" t="s">
        <v>887</v>
      </c>
      <c r="R1677" s="33">
        <v>4401</v>
      </c>
      <c r="S1677" s="34">
        <v>42160</v>
      </c>
      <c r="T1677" s="34">
        <v>42162</v>
      </c>
      <c r="U1677" s="29">
        <v>7024.2069000000001</v>
      </c>
      <c r="V1677" s="26">
        <v>15</v>
      </c>
      <c r="W1677" s="29">
        <v>10180.01</v>
      </c>
      <c r="X1677" s="26">
        <v>87033</v>
      </c>
      <c r="Y1677" s="35">
        <v>363.16</v>
      </c>
      <c r="Z1677" s="1" t="s">
        <v>3014</v>
      </c>
      <c r="AA1677" s="36">
        <v>629.99099999999999</v>
      </c>
      <c r="AB1677" s="54">
        <v>6006.2059000000008</v>
      </c>
      <c r="AC1677" s="54">
        <v>278.25360666666666</v>
      </c>
      <c r="AD1677" s="36">
        <v>2501.3221000000003</v>
      </c>
    </row>
    <row r="1678" spans="1:30" s="37" customFormat="1" ht="15.75" customHeight="1" x14ac:dyDescent="0.2">
      <c r="A1678" s="26">
        <v>2882</v>
      </c>
      <c r="B1678" s="27" t="s">
        <v>671</v>
      </c>
      <c r="C1678" s="27" t="s">
        <v>38</v>
      </c>
      <c r="D1678" s="28">
        <v>0.09</v>
      </c>
      <c r="E1678" s="29">
        <v>363.25</v>
      </c>
      <c r="F1678" s="29">
        <v>19.989999999999998</v>
      </c>
      <c r="G1678" s="30" t="s">
        <v>39</v>
      </c>
      <c r="H1678" s="27" t="s">
        <v>40</v>
      </c>
      <c r="I1678" s="27" t="s">
        <v>49</v>
      </c>
      <c r="J1678" s="27" t="s">
        <v>95</v>
      </c>
      <c r="K1678" s="27" t="s">
        <v>73</v>
      </c>
      <c r="L1678" s="31" t="s">
        <v>199</v>
      </c>
      <c r="M1678" s="32">
        <v>0.56999999999999995</v>
      </c>
      <c r="N1678" s="27" t="s">
        <v>33</v>
      </c>
      <c r="O1678" s="27" t="s">
        <v>34</v>
      </c>
      <c r="P1678" s="27" t="s">
        <v>97</v>
      </c>
      <c r="Q1678" s="27" t="s">
        <v>673</v>
      </c>
      <c r="R1678" s="33">
        <v>28206</v>
      </c>
      <c r="S1678" s="34">
        <v>42160</v>
      </c>
      <c r="T1678" s="34">
        <v>42161</v>
      </c>
      <c r="U1678" s="29">
        <v>732.26980000000003</v>
      </c>
      <c r="V1678" s="26">
        <v>21</v>
      </c>
      <c r="W1678" s="29">
        <v>7497.05</v>
      </c>
      <c r="X1678" s="26">
        <v>21958</v>
      </c>
      <c r="Y1678" s="35">
        <v>363.16</v>
      </c>
      <c r="Z1678" s="1" t="s">
        <v>3011</v>
      </c>
      <c r="AA1678" s="36">
        <v>686.5424999999999</v>
      </c>
      <c r="AB1678" s="54">
        <v>3223.7315000000003</v>
      </c>
      <c r="AC1678" s="54">
        <v>203.49135714285714</v>
      </c>
      <c r="AD1678" s="36">
        <v>6058.2476999999999</v>
      </c>
    </row>
    <row r="1679" spans="1:30" s="37" customFormat="1" ht="15.75" customHeight="1" x14ac:dyDescent="0.2">
      <c r="A1679" s="26">
        <v>2522</v>
      </c>
      <c r="B1679" s="27" t="s">
        <v>2771</v>
      </c>
      <c r="C1679" s="27" t="s">
        <v>116</v>
      </c>
      <c r="D1679" s="28">
        <v>0.04</v>
      </c>
      <c r="E1679" s="29">
        <v>1360.14</v>
      </c>
      <c r="F1679" s="29">
        <v>14.7</v>
      </c>
      <c r="G1679" s="30" t="s">
        <v>27</v>
      </c>
      <c r="H1679" s="27" t="s">
        <v>71</v>
      </c>
      <c r="I1679" s="27" t="s">
        <v>41</v>
      </c>
      <c r="J1679" s="27" t="s">
        <v>57</v>
      </c>
      <c r="K1679" s="27" t="s">
        <v>58</v>
      </c>
      <c r="L1679" s="31" t="s">
        <v>2772</v>
      </c>
      <c r="M1679" s="32">
        <v>0.59</v>
      </c>
      <c r="N1679" s="27" t="s">
        <v>33</v>
      </c>
      <c r="O1679" s="27" t="s">
        <v>111</v>
      </c>
      <c r="P1679" s="27" t="s">
        <v>633</v>
      </c>
      <c r="Q1679" s="27" t="s">
        <v>928</v>
      </c>
      <c r="R1679" s="33">
        <v>5401</v>
      </c>
      <c r="S1679" s="34">
        <v>42160</v>
      </c>
      <c r="T1679" s="34">
        <v>42163</v>
      </c>
      <c r="U1679" s="29">
        <v>2639.01</v>
      </c>
      <c r="V1679" s="26">
        <v>6</v>
      </c>
      <c r="W1679" s="29">
        <v>7303.05</v>
      </c>
      <c r="X1679" s="26">
        <v>87033</v>
      </c>
      <c r="Y1679" s="35">
        <v>35.849999999999994</v>
      </c>
      <c r="Z1679" s="1" t="s">
        <v>3014</v>
      </c>
      <c r="AA1679" s="36">
        <v>326.43360000000007</v>
      </c>
      <c r="AB1679" s="54">
        <v>2994.2505000000001</v>
      </c>
      <c r="AC1679" s="54">
        <v>718.13324999999998</v>
      </c>
      <c r="AD1679" s="36">
        <v>4322.9063999999998</v>
      </c>
    </row>
    <row r="1680" spans="1:30" s="37" customFormat="1" ht="15.75" customHeight="1" x14ac:dyDescent="0.2">
      <c r="A1680" s="26">
        <v>2884</v>
      </c>
      <c r="B1680" s="27" t="s">
        <v>1740</v>
      </c>
      <c r="C1680" s="27" t="s">
        <v>38</v>
      </c>
      <c r="D1680" s="28">
        <v>0.09</v>
      </c>
      <c r="E1680" s="29">
        <v>363.25</v>
      </c>
      <c r="F1680" s="29">
        <v>19.989999999999998</v>
      </c>
      <c r="G1680" s="30" t="s">
        <v>39</v>
      </c>
      <c r="H1680" s="27" t="s">
        <v>40</v>
      </c>
      <c r="I1680" s="27" t="s">
        <v>49</v>
      </c>
      <c r="J1680" s="27" t="s">
        <v>95</v>
      </c>
      <c r="K1680" s="27" t="s">
        <v>73</v>
      </c>
      <c r="L1680" s="31" t="s">
        <v>199</v>
      </c>
      <c r="M1680" s="32">
        <v>0.56999999999999995</v>
      </c>
      <c r="N1680" s="27" t="s">
        <v>33</v>
      </c>
      <c r="O1680" s="27" t="s">
        <v>111</v>
      </c>
      <c r="P1680" s="27" t="s">
        <v>317</v>
      </c>
      <c r="Q1680" s="27" t="s">
        <v>1741</v>
      </c>
      <c r="R1680" s="33">
        <v>44039</v>
      </c>
      <c r="S1680" s="34">
        <v>42160</v>
      </c>
      <c r="T1680" s="34">
        <v>42161</v>
      </c>
      <c r="U1680" s="29">
        <v>1231.6569</v>
      </c>
      <c r="V1680" s="26">
        <v>5</v>
      </c>
      <c r="W1680" s="29">
        <v>1785.01</v>
      </c>
      <c r="X1680" s="26">
        <v>87633</v>
      </c>
      <c r="Y1680" s="35">
        <v>170.98</v>
      </c>
      <c r="Z1680" s="1" t="s">
        <v>3014</v>
      </c>
      <c r="AA1680" s="36">
        <v>163.46249999999998</v>
      </c>
      <c r="AB1680" s="54">
        <v>767.55430000000013</v>
      </c>
      <c r="AC1680" s="54">
        <v>203.49114</v>
      </c>
      <c r="AD1680" s="36">
        <v>369.90060000000017</v>
      </c>
    </row>
    <row r="1681" spans="1:30" s="37" customFormat="1" ht="15.75" customHeight="1" x14ac:dyDescent="0.2">
      <c r="A1681" s="26">
        <v>269</v>
      </c>
      <c r="B1681" s="27" t="s">
        <v>2760</v>
      </c>
      <c r="C1681" s="27" t="s">
        <v>48</v>
      </c>
      <c r="D1681" s="28">
        <v>0</v>
      </c>
      <c r="E1681" s="29">
        <v>170.98</v>
      </c>
      <c r="F1681" s="29">
        <v>13.99</v>
      </c>
      <c r="G1681" s="30" t="s">
        <v>39</v>
      </c>
      <c r="H1681" s="27" t="s">
        <v>71</v>
      </c>
      <c r="I1681" s="27" t="s">
        <v>29</v>
      </c>
      <c r="J1681" s="27" t="s">
        <v>126</v>
      </c>
      <c r="K1681" s="27" t="s">
        <v>144</v>
      </c>
      <c r="L1681" s="31" t="s">
        <v>2762</v>
      </c>
      <c r="M1681" s="32">
        <v>0.75</v>
      </c>
      <c r="N1681" s="27" t="s">
        <v>33</v>
      </c>
      <c r="O1681" s="27" t="s">
        <v>60</v>
      </c>
      <c r="P1681" s="27" t="s">
        <v>588</v>
      </c>
      <c r="Q1681" s="27" t="s">
        <v>2761</v>
      </c>
      <c r="R1681" s="33">
        <v>85234</v>
      </c>
      <c r="S1681" s="34">
        <v>42160</v>
      </c>
      <c r="T1681" s="34">
        <v>42167</v>
      </c>
      <c r="U1681" s="29">
        <v>888.14729999999997</v>
      </c>
      <c r="V1681" s="26">
        <v>7</v>
      </c>
      <c r="W1681" s="29">
        <v>1287.17</v>
      </c>
      <c r="X1681" s="26">
        <v>88942</v>
      </c>
      <c r="Y1681" s="35">
        <v>4.8900000000000006</v>
      </c>
      <c r="Z1681" s="1" t="s">
        <v>3013</v>
      </c>
      <c r="AA1681" s="36">
        <v>0</v>
      </c>
      <c r="AB1681" s="54">
        <v>321.79250000000002</v>
      </c>
      <c r="AC1681" s="54">
        <v>137.91107142857143</v>
      </c>
      <c r="AD1681" s="36">
        <v>385.03270000000009</v>
      </c>
    </row>
    <row r="1682" spans="1:30" s="37" customFormat="1" ht="15.75" customHeight="1" x14ac:dyDescent="0.2">
      <c r="A1682" s="26">
        <v>272</v>
      </c>
      <c r="B1682" s="27" t="s">
        <v>2053</v>
      </c>
      <c r="C1682" s="27" t="s">
        <v>48</v>
      </c>
      <c r="D1682" s="28">
        <v>0.09</v>
      </c>
      <c r="E1682" s="29">
        <v>35.94</v>
      </c>
      <c r="F1682" s="29">
        <v>6.66</v>
      </c>
      <c r="G1682" s="30" t="s">
        <v>39</v>
      </c>
      <c r="H1682" s="27" t="s">
        <v>71</v>
      </c>
      <c r="I1682" s="27" t="s">
        <v>49</v>
      </c>
      <c r="J1682" s="27" t="s">
        <v>345</v>
      </c>
      <c r="K1682" s="27" t="s">
        <v>73</v>
      </c>
      <c r="L1682" s="31" t="s">
        <v>2122</v>
      </c>
      <c r="M1682" s="32">
        <v>0.4</v>
      </c>
      <c r="N1682" s="27" t="s">
        <v>33</v>
      </c>
      <c r="O1682" s="27" t="s">
        <v>34</v>
      </c>
      <c r="P1682" s="27" t="s">
        <v>97</v>
      </c>
      <c r="Q1682" s="27" t="s">
        <v>673</v>
      </c>
      <c r="R1682" s="33">
        <v>28204</v>
      </c>
      <c r="S1682" s="34">
        <v>42160</v>
      </c>
      <c r="T1682" s="34">
        <v>42165</v>
      </c>
      <c r="U1682" s="29">
        <v>72.1858</v>
      </c>
      <c r="V1682" s="26">
        <v>24</v>
      </c>
      <c r="W1682" s="29">
        <v>836.47</v>
      </c>
      <c r="X1682" s="26">
        <v>36069</v>
      </c>
      <c r="Y1682" s="35">
        <v>35.849999999999994</v>
      </c>
      <c r="Z1682" s="1" t="s">
        <v>3011</v>
      </c>
      <c r="AA1682" s="36">
        <v>77.63039999999998</v>
      </c>
      <c r="AB1682" s="54">
        <v>501.88200000000001</v>
      </c>
      <c r="AC1682" s="54">
        <v>13.941166666666668</v>
      </c>
      <c r="AD1682" s="36">
        <v>679.99380000000008</v>
      </c>
    </row>
    <row r="1683" spans="1:30" s="37" customFormat="1" ht="15.75" customHeight="1" x14ac:dyDescent="0.2">
      <c r="A1683" s="26">
        <v>2520</v>
      </c>
      <c r="B1683" s="27" t="s">
        <v>2769</v>
      </c>
      <c r="C1683" s="27" t="s">
        <v>116</v>
      </c>
      <c r="D1683" s="28">
        <v>7.0000000000000007E-2</v>
      </c>
      <c r="E1683" s="29">
        <v>30.98</v>
      </c>
      <c r="F1683" s="29">
        <v>8.74</v>
      </c>
      <c r="G1683" s="30" t="s">
        <v>39</v>
      </c>
      <c r="H1683" s="27" t="s">
        <v>71</v>
      </c>
      <c r="I1683" s="27" t="s">
        <v>49</v>
      </c>
      <c r="J1683" s="27" t="s">
        <v>88</v>
      </c>
      <c r="K1683" s="27" t="s">
        <v>73</v>
      </c>
      <c r="L1683" s="31" t="s">
        <v>2586</v>
      </c>
      <c r="M1683" s="32">
        <v>0.4</v>
      </c>
      <c r="N1683" s="27" t="s">
        <v>33</v>
      </c>
      <c r="O1683" s="27" t="s">
        <v>111</v>
      </c>
      <c r="P1683" s="27" t="s">
        <v>584</v>
      </c>
      <c r="Q1683" s="27" t="s">
        <v>2770</v>
      </c>
      <c r="R1683" s="33">
        <v>2908</v>
      </c>
      <c r="S1683" s="34">
        <v>42160</v>
      </c>
      <c r="T1683" s="34">
        <v>42161</v>
      </c>
      <c r="U1683" s="29">
        <v>255.76920000000001</v>
      </c>
      <c r="V1683" s="26">
        <v>12</v>
      </c>
      <c r="W1683" s="29">
        <v>370.68</v>
      </c>
      <c r="X1683" s="26">
        <v>87033</v>
      </c>
      <c r="Y1683" s="35">
        <v>4.8900000000000006</v>
      </c>
      <c r="Z1683" s="1" t="s">
        <v>3014</v>
      </c>
      <c r="AA1683" s="36">
        <v>26.023200000000003</v>
      </c>
      <c r="AB1683" s="54">
        <v>222.40799999999999</v>
      </c>
      <c r="AC1683" s="54">
        <v>12.356000000000002</v>
      </c>
      <c r="AD1683" s="36">
        <v>80.147599999999954</v>
      </c>
    </row>
    <row r="1684" spans="1:30" s="37" customFormat="1" ht="15.75" customHeight="1" x14ac:dyDescent="0.2">
      <c r="A1684" s="26">
        <v>269</v>
      </c>
      <c r="B1684" s="27" t="s">
        <v>2760</v>
      </c>
      <c r="C1684" s="27" t="s">
        <v>48</v>
      </c>
      <c r="D1684" s="28">
        <v>0.09</v>
      </c>
      <c r="E1684" s="29">
        <v>35.94</v>
      </c>
      <c r="F1684" s="29">
        <v>6.66</v>
      </c>
      <c r="G1684" s="30" t="s">
        <v>39</v>
      </c>
      <c r="H1684" s="27" t="s">
        <v>71</v>
      </c>
      <c r="I1684" s="27" t="s">
        <v>49</v>
      </c>
      <c r="J1684" s="27" t="s">
        <v>345</v>
      </c>
      <c r="K1684" s="27" t="s">
        <v>73</v>
      </c>
      <c r="L1684" s="31" t="s">
        <v>2122</v>
      </c>
      <c r="M1684" s="32">
        <v>0.4</v>
      </c>
      <c r="N1684" s="27" t="s">
        <v>33</v>
      </c>
      <c r="O1684" s="27" t="s">
        <v>60</v>
      </c>
      <c r="P1684" s="27" t="s">
        <v>588</v>
      </c>
      <c r="Q1684" s="27" t="s">
        <v>2761</v>
      </c>
      <c r="R1684" s="33">
        <v>85234</v>
      </c>
      <c r="S1684" s="34">
        <v>42160</v>
      </c>
      <c r="T1684" s="34">
        <v>42165</v>
      </c>
      <c r="U1684" s="29">
        <v>144.2928</v>
      </c>
      <c r="V1684" s="26">
        <v>6</v>
      </c>
      <c r="W1684" s="29">
        <v>209.12</v>
      </c>
      <c r="X1684" s="26">
        <v>88942</v>
      </c>
      <c r="Y1684" s="35">
        <v>12.57</v>
      </c>
      <c r="Z1684" s="1" t="s">
        <v>3013</v>
      </c>
      <c r="AA1684" s="36">
        <v>19.407599999999995</v>
      </c>
      <c r="AB1684" s="54">
        <v>125.47199999999999</v>
      </c>
      <c r="AC1684" s="54">
        <v>13.941333333333333</v>
      </c>
      <c r="AD1684" s="36">
        <v>38.759600000000006</v>
      </c>
    </row>
    <row r="1685" spans="1:30" s="37" customFormat="1" ht="15.75" customHeight="1" x14ac:dyDescent="0.2">
      <c r="A1685" s="26">
        <v>518</v>
      </c>
      <c r="B1685" s="27" t="s">
        <v>2763</v>
      </c>
      <c r="C1685" s="27" t="s">
        <v>48</v>
      </c>
      <c r="D1685" s="28">
        <v>7.0000000000000007E-2</v>
      </c>
      <c r="E1685" s="29">
        <v>12.64</v>
      </c>
      <c r="F1685" s="29">
        <v>4.9800000000000004</v>
      </c>
      <c r="G1685" s="30" t="s">
        <v>39</v>
      </c>
      <c r="H1685" s="27" t="s">
        <v>71</v>
      </c>
      <c r="I1685" s="27" t="s">
        <v>29</v>
      </c>
      <c r="J1685" s="27" t="s">
        <v>126</v>
      </c>
      <c r="K1685" s="27" t="s">
        <v>43</v>
      </c>
      <c r="L1685" s="31" t="s">
        <v>1773</v>
      </c>
      <c r="M1685" s="32">
        <v>0.48</v>
      </c>
      <c r="N1685" s="27" t="s">
        <v>33</v>
      </c>
      <c r="O1685" s="27" t="s">
        <v>53</v>
      </c>
      <c r="P1685" s="27" t="s">
        <v>80</v>
      </c>
      <c r="Q1685" s="27" t="s">
        <v>1506</v>
      </c>
      <c r="R1685" s="33">
        <v>63105</v>
      </c>
      <c r="S1685" s="34">
        <v>42160</v>
      </c>
      <c r="T1685" s="34">
        <v>42167</v>
      </c>
      <c r="U1685" s="29">
        <v>113.41500000000001</v>
      </c>
      <c r="V1685" s="26">
        <v>16</v>
      </c>
      <c r="W1685" s="29">
        <v>199.76</v>
      </c>
      <c r="X1685" s="26">
        <v>90867</v>
      </c>
      <c r="Y1685" s="35">
        <v>6.4600000000000009</v>
      </c>
      <c r="Z1685" s="1" t="s">
        <v>3012</v>
      </c>
      <c r="AA1685" s="36">
        <v>14.156800000000002</v>
      </c>
      <c r="AB1685" s="54">
        <v>103.87519999999999</v>
      </c>
      <c r="AC1685" s="54">
        <v>5.9927999999999999</v>
      </c>
      <c r="AD1685" s="36">
        <v>67.208199999999977</v>
      </c>
    </row>
    <row r="1686" spans="1:30" s="37" customFormat="1" ht="15.75" customHeight="1" x14ac:dyDescent="0.2">
      <c r="A1686" s="26">
        <v>2516</v>
      </c>
      <c r="B1686" s="27" t="s">
        <v>2768</v>
      </c>
      <c r="C1686" s="27" t="s">
        <v>116</v>
      </c>
      <c r="D1686" s="28">
        <v>0.02</v>
      </c>
      <c r="E1686" s="29">
        <v>17.149999999999999</v>
      </c>
      <c r="F1686" s="29">
        <v>4.96</v>
      </c>
      <c r="G1686" s="30" t="s">
        <v>39</v>
      </c>
      <c r="H1686" s="27" t="s">
        <v>71</v>
      </c>
      <c r="I1686" s="27" t="s">
        <v>49</v>
      </c>
      <c r="J1686" s="27" t="s">
        <v>78</v>
      </c>
      <c r="K1686" s="27" t="s">
        <v>73</v>
      </c>
      <c r="L1686" s="31" t="s">
        <v>650</v>
      </c>
      <c r="M1686" s="32">
        <v>0.57999999999999996</v>
      </c>
      <c r="N1686" s="27" t="s">
        <v>33</v>
      </c>
      <c r="O1686" s="27" t="s">
        <v>111</v>
      </c>
      <c r="P1686" s="27" t="s">
        <v>397</v>
      </c>
      <c r="Q1686" s="27" t="s">
        <v>439</v>
      </c>
      <c r="R1686" s="33">
        <v>7631</v>
      </c>
      <c r="S1686" s="34">
        <v>42160</v>
      </c>
      <c r="T1686" s="34">
        <v>42162</v>
      </c>
      <c r="U1686" s="29">
        <v>36.494999999999997</v>
      </c>
      <c r="V1686" s="26">
        <v>11</v>
      </c>
      <c r="W1686" s="29">
        <v>190.85</v>
      </c>
      <c r="X1686" s="26">
        <v>87033</v>
      </c>
      <c r="Y1686" s="35">
        <v>699.93000000000006</v>
      </c>
      <c r="Z1686" s="1" t="s">
        <v>3014</v>
      </c>
      <c r="AA1686" s="36">
        <v>3.7729999999999997</v>
      </c>
      <c r="AB1686" s="54">
        <v>80.157000000000011</v>
      </c>
      <c r="AC1686" s="54">
        <v>10.062999999999999</v>
      </c>
      <c r="AD1686" s="36">
        <v>145.62200000000001</v>
      </c>
    </row>
    <row r="1687" spans="1:30" s="37" customFormat="1" ht="15.75" customHeight="1" x14ac:dyDescent="0.2">
      <c r="A1687" s="26">
        <v>272</v>
      </c>
      <c r="B1687" s="27" t="s">
        <v>2053</v>
      </c>
      <c r="C1687" s="27" t="s">
        <v>48</v>
      </c>
      <c r="D1687" s="28">
        <v>0.09</v>
      </c>
      <c r="E1687" s="29">
        <v>4.9800000000000004</v>
      </c>
      <c r="F1687" s="29">
        <v>7.44</v>
      </c>
      <c r="G1687" s="30" t="s">
        <v>39</v>
      </c>
      <c r="H1687" s="27" t="s">
        <v>71</v>
      </c>
      <c r="I1687" s="27" t="s">
        <v>49</v>
      </c>
      <c r="J1687" s="27" t="s">
        <v>88</v>
      </c>
      <c r="K1687" s="27" t="s">
        <v>73</v>
      </c>
      <c r="L1687" s="31" t="s">
        <v>2174</v>
      </c>
      <c r="M1687" s="32">
        <v>0.36</v>
      </c>
      <c r="N1687" s="27" t="s">
        <v>33</v>
      </c>
      <c r="O1687" s="27" t="s">
        <v>34</v>
      </c>
      <c r="P1687" s="27" t="s">
        <v>97</v>
      </c>
      <c r="Q1687" s="27" t="s">
        <v>673</v>
      </c>
      <c r="R1687" s="33">
        <v>28204</v>
      </c>
      <c r="S1687" s="34">
        <v>42160</v>
      </c>
      <c r="T1687" s="34">
        <v>42162</v>
      </c>
      <c r="U1687" s="29">
        <v>-122.3733</v>
      </c>
      <c r="V1687" s="26">
        <v>37</v>
      </c>
      <c r="W1687" s="29">
        <v>189.83</v>
      </c>
      <c r="X1687" s="26">
        <v>36069</v>
      </c>
      <c r="Y1687" s="35">
        <v>17.13</v>
      </c>
      <c r="Z1687" s="1" t="s">
        <v>3011</v>
      </c>
      <c r="AA1687" s="36">
        <v>16.583400000000001</v>
      </c>
      <c r="AB1687" s="54">
        <v>121.49120000000001</v>
      </c>
      <c r="AC1687" s="54">
        <v>1.8469945945945947</v>
      </c>
      <c r="AD1687" s="36">
        <v>288.17990000000003</v>
      </c>
    </row>
    <row r="1688" spans="1:30" s="37" customFormat="1" ht="15.75" customHeight="1" x14ac:dyDescent="0.2">
      <c r="A1688" s="26">
        <v>269</v>
      </c>
      <c r="B1688" s="27" t="s">
        <v>2760</v>
      </c>
      <c r="C1688" s="27" t="s">
        <v>48</v>
      </c>
      <c r="D1688" s="28">
        <v>0.09</v>
      </c>
      <c r="E1688" s="29">
        <v>4.9800000000000004</v>
      </c>
      <c r="F1688" s="29">
        <v>7.44</v>
      </c>
      <c r="G1688" s="30" t="s">
        <v>39</v>
      </c>
      <c r="H1688" s="27" t="s">
        <v>71</v>
      </c>
      <c r="I1688" s="27" t="s">
        <v>49</v>
      </c>
      <c r="J1688" s="27" t="s">
        <v>88</v>
      </c>
      <c r="K1688" s="27" t="s">
        <v>73</v>
      </c>
      <c r="L1688" s="31" t="s">
        <v>2174</v>
      </c>
      <c r="M1688" s="32">
        <v>0.36</v>
      </c>
      <c r="N1688" s="27" t="s">
        <v>33</v>
      </c>
      <c r="O1688" s="27" t="s">
        <v>60</v>
      </c>
      <c r="P1688" s="27" t="s">
        <v>588</v>
      </c>
      <c r="Q1688" s="27" t="s">
        <v>2761</v>
      </c>
      <c r="R1688" s="33">
        <v>85234</v>
      </c>
      <c r="S1688" s="34">
        <v>42160</v>
      </c>
      <c r="T1688" s="34">
        <v>42162</v>
      </c>
      <c r="U1688" s="29">
        <v>-46.005000000000003</v>
      </c>
      <c r="V1688" s="26">
        <v>9</v>
      </c>
      <c r="W1688" s="29">
        <v>46.17</v>
      </c>
      <c r="X1688" s="26">
        <v>88942</v>
      </c>
      <c r="Y1688" s="35">
        <v>30.91</v>
      </c>
      <c r="Z1688" s="1" t="s">
        <v>3013</v>
      </c>
      <c r="AA1688" s="36">
        <v>4.0338000000000003</v>
      </c>
      <c r="AB1688" s="54">
        <v>29.5488</v>
      </c>
      <c r="AC1688" s="54">
        <v>1.8468</v>
      </c>
      <c r="AD1688" s="36">
        <v>80.7012</v>
      </c>
    </row>
    <row r="1689" spans="1:30" s="37" customFormat="1" ht="15.75" customHeight="1" x14ac:dyDescent="0.2">
      <c r="A1689" s="26">
        <v>2506</v>
      </c>
      <c r="B1689" s="27" t="s">
        <v>2764</v>
      </c>
      <c r="C1689" s="27" t="s">
        <v>116</v>
      </c>
      <c r="D1689" s="28">
        <v>0.02</v>
      </c>
      <c r="E1689" s="29">
        <v>6.48</v>
      </c>
      <c r="F1689" s="29">
        <v>8.74</v>
      </c>
      <c r="G1689" s="30" t="s">
        <v>39</v>
      </c>
      <c r="H1689" s="27" t="s">
        <v>71</v>
      </c>
      <c r="I1689" s="27" t="s">
        <v>49</v>
      </c>
      <c r="J1689" s="27" t="s">
        <v>88</v>
      </c>
      <c r="K1689" s="27" t="s">
        <v>73</v>
      </c>
      <c r="L1689" s="31" t="s">
        <v>2765</v>
      </c>
      <c r="M1689" s="32">
        <v>0.36</v>
      </c>
      <c r="N1689" s="27" t="s">
        <v>33</v>
      </c>
      <c r="O1689" s="27" t="s">
        <v>111</v>
      </c>
      <c r="P1689" s="27" t="s">
        <v>248</v>
      </c>
      <c r="Q1689" s="27" t="s">
        <v>2766</v>
      </c>
      <c r="R1689" s="33">
        <v>6408</v>
      </c>
      <c r="S1689" s="34">
        <v>42160</v>
      </c>
      <c r="T1689" s="34">
        <v>42162</v>
      </c>
      <c r="U1689" s="29">
        <v>-6.835</v>
      </c>
      <c r="V1689" s="26">
        <v>1</v>
      </c>
      <c r="W1689" s="29">
        <v>10.72</v>
      </c>
      <c r="X1689" s="26">
        <v>87033</v>
      </c>
      <c r="Y1689" s="35">
        <v>1360.1000000000001</v>
      </c>
      <c r="Z1689" s="1" t="s">
        <v>3014</v>
      </c>
      <c r="AA1689" s="36">
        <v>0.12960000000000002</v>
      </c>
      <c r="AB1689" s="54">
        <v>6.8608000000000002</v>
      </c>
      <c r="AC1689" s="54">
        <v>3.8592</v>
      </c>
      <c r="AD1689" s="36">
        <v>8.6854000000000013</v>
      </c>
    </row>
    <row r="1690" spans="1:30" s="37" customFormat="1" ht="15.75" customHeight="1" x14ac:dyDescent="0.2">
      <c r="A1690" s="26">
        <v>1106</v>
      </c>
      <c r="B1690" s="27" t="s">
        <v>2581</v>
      </c>
      <c r="C1690" s="27" t="s">
        <v>3094</v>
      </c>
      <c r="D1690" s="28">
        <v>0.08</v>
      </c>
      <c r="E1690" s="29">
        <v>140.81</v>
      </c>
      <c r="F1690" s="29">
        <v>24.49</v>
      </c>
      <c r="G1690" s="30" t="s">
        <v>39</v>
      </c>
      <c r="H1690" s="27" t="s">
        <v>40</v>
      </c>
      <c r="I1690" s="27" t="s">
        <v>29</v>
      </c>
      <c r="J1690" s="27" t="s">
        <v>109</v>
      </c>
      <c r="K1690" s="27" t="s">
        <v>65</v>
      </c>
      <c r="L1690" s="31" t="s">
        <v>2784</v>
      </c>
      <c r="M1690" s="32">
        <v>0.56999999999999995</v>
      </c>
      <c r="N1690" s="27" t="s">
        <v>33</v>
      </c>
      <c r="O1690" s="27" t="s">
        <v>53</v>
      </c>
      <c r="P1690" s="27" t="s">
        <v>187</v>
      </c>
      <c r="Q1690" s="27" t="s">
        <v>554</v>
      </c>
      <c r="R1690" s="33">
        <v>75220</v>
      </c>
      <c r="S1690" s="34">
        <v>42161</v>
      </c>
      <c r="T1690" s="34">
        <v>42163</v>
      </c>
      <c r="U1690" s="29">
        <v>1232.79</v>
      </c>
      <c r="V1690" s="26">
        <v>81</v>
      </c>
      <c r="W1690" s="29">
        <v>11272.77</v>
      </c>
      <c r="X1690" s="26">
        <v>45824</v>
      </c>
      <c r="Y1690" s="35">
        <v>6.45</v>
      </c>
      <c r="Z1690" s="1" t="s">
        <v>3012</v>
      </c>
      <c r="AA1690" s="36">
        <v>912.44880000000012</v>
      </c>
      <c r="AB1690" s="54">
        <v>4847.2911000000004</v>
      </c>
      <c r="AC1690" s="54">
        <v>79.326900000000009</v>
      </c>
      <c r="AD1690" s="36">
        <v>9103.0411999999997</v>
      </c>
    </row>
    <row r="1691" spans="1:30" s="37" customFormat="1" ht="15.75" customHeight="1" x14ac:dyDescent="0.2">
      <c r="A1691" s="26">
        <v>2107</v>
      </c>
      <c r="B1691" s="27" t="s">
        <v>2779</v>
      </c>
      <c r="C1691" s="27" t="s">
        <v>116</v>
      </c>
      <c r="D1691" s="28">
        <v>0.05</v>
      </c>
      <c r="E1691" s="29">
        <v>399.98</v>
      </c>
      <c r="F1691" s="29">
        <v>12.06</v>
      </c>
      <c r="G1691" s="30" t="s">
        <v>27</v>
      </c>
      <c r="H1691" s="27" t="s">
        <v>94</v>
      </c>
      <c r="I1691" s="27" t="s">
        <v>41</v>
      </c>
      <c r="J1691" s="27" t="s">
        <v>57</v>
      </c>
      <c r="K1691" s="27" t="s">
        <v>31</v>
      </c>
      <c r="L1691" s="31" t="s">
        <v>183</v>
      </c>
      <c r="M1691" s="32">
        <v>0.56000000000000005</v>
      </c>
      <c r="N1691" s="27" t="s">
        <v>33</v>
      </c>
      <c r="O1691" s="27" t="s">
        <v>53</v>
      </c>
      <c r="P1691" s="27" t="s">
        <v>103</v>
      </c>
      <c r="Q1691" s="27" t="s">
        <v>533</v>
      </c>
      <c r="R1691" s="33">
        <v>60601</v>
      </c>
      <c r="S1691" s="34">
        <v>42161</v>
      </c>
      <c r="T1691" s="34">
        <v>42161</v>
      </c>
      <c r="U1691" s="29">
        <v>567.59</v>
      </c>
      <c r="V1691" s="26">
        <v>24</v>
      </c>
      <c r="W1691" s="29">
        <v>9666.7199999999993</v>
      </c>
      <c r="X1691" s="26">
        <v>39015</v>
      </c>
      <c r="Y1691" s="35">
        <v>2.77</v>
      </c>
      <c r="Z1691" s="1" t="s">
        <v>3012</v>
      </c>
      <c r="AA1691" s="36">
        <v>479.97600000000006</v>
      </c>
      <c r="AB1691" s="54">
        <v>4253.3567999999996</v>
      </c>
      <c r="AC1691" s="54">
        <v>225.55680000000001</v>
      </c>
      <c r="AD1691" s="36">
        <v>8607.0939999999991</v>
      </c>
    </row>
    <row r="1692" spans="1:30" s="37" customFormat="1" ht="15.75" customHeight="1" x14ac:dyDescent="0.2">
      <c r="A1692" s="26">
        <v>2848</v>
      </c>
      <c r="B1692" s="27" t="s">
        <v>2783</v>
      </c>
      <c r="C1692" s="27" t="s">
        <v>116</v>
      </c>
      <c r="D1692" s="28">
        <v>0</v>
      </c>
      <c r="E1692" s="29">
        <v>49.99</v>
      </c>
      <c r="F1692" s="29">
        <v>19.989999999999998</v>
      </c>
      <c r="G1692" s="30" t="s">
        <v>39</v>
      </c>
      <c r="H1692" s="27" t="s">
        <v>94</v>
      </c>
      <c r="I1692" s="27" t="s">
        <v>41</v>
      </c>
      <c r="J1692" s="27" t="s">
        <v>42</v>
      </c>
      <c r="K1692" s="27" t="s">
        <v>73</v>
      </c>
      <c r="L1692" s="31" t="s">
        <v>1288</v>
      </c>
      <c r="M1692" s="32">
        <v>0.41</v>
      </c>
      <c r="N1692" s="27" t="s">
        <v>33</v>
      </c>
      <c r="O1692" s="27" t="s">
        <v>34</v>
      </c>
      <c r="P1692" s="27" t="s">
        <v>400</v>
      </c>
      <c r="Q1692" s="27" t="s">
        <v>1637</v>
      </c>
      <c r="R1692" s="33">
        <v>38401</v>
      </c>
      <c r="S1692" s="34">
        <v>42161</v>
      </c>
      <c r="T1692" s="34">
        <v>42163</v>
      </c>
      <c r="U1692" s="29">
        <v>38.886000000000003</v>
      </c>
      <c r="V1692" s="26">
        <v>16</v>
      </c>
      <c r="W1692" s="29">
        <v>832.97</v>
      </c>
      <c r="X1692" s="26">
        <v>85929</v>
      </c>
      <c r="Y1692" s="35">
        <v>2.77</v>
      </c>
      <c r="Z1692" s="1" t="s">
        <v>3011</v>
      </c>
      <c r="AA1692" s="36">
        <v>0</v>
      </c>
      <c r="AB1692" s="54">
        <v>491.45230000000009</v>
      </c>
      <c r="AC1692" s="54">
        <v>21.344856249999999</v>
      </c>
      <c r="AD1692" s="36">
        <v>774.09400000000005</v>
      </c>
    </row>
    <row r="1693" spans="1:30" s="37" customFormat="1" ht="15.75" customHeight="1" x14ac:dyDescent="0.2">
      <c r="A1693" s="26">
        <v>1340</v>
      </c>
      <c r="B1693" s="27" t="s">
        <v>1084</v>
      </c>
      <c r="C1693" s="27" t="s">
        <v>3094</v>
      </c>
      <c r="D1693" s="28">
        <v>7.0000000000000007E-2</v>
      </c>
      <c r="E1693" s="29">
        <v>3.98</v>
      </c>
      <c r="F1693" s="29">
        <v>0.83</v>
      </c>
      <c r="G1693" s="30" t="s">
        <v>39</v>
      </c>
      <c r="H1693" s="27" t="s">
        <v>71</v>
      </c>
      <c r="I1693" s="27" t="s">
        <v>49</v>
      </c>
      <c r="J1693" s="27" t="s">
        <v>50</v>
      </c>
      <c r="K1693" s="27" t="s">
        <v>51</v>
      </c>
      <c r="L1693" s="31" t="s">
        <v>2785</v>
      </c>
      <c r="M1693" s="32">
        <v>0.51</v>
      </c>
      <c r="N1693" s="27" t="s">
        <v>33</v>
      </c>
      <c r="O1693" s="27" t="s">
        <v>111</v>
      </c>
      <c r="P1693" s="27" t="s">
        <v>112</v>
      </c>
      <c r="Q1693" s="27" t="s">
        <v>113</v>
      </c>
      <c r="R1693" s="33">
        <v>10170</v>
      </c>
      <c r="S1693" s="34">
        <v>42161</v>
      </c>
      <c r="T1693" s="34">
        <v>42164</v>
      </c>
      <c r="U1693" s="29">
        <v>27.38</v>
      </c>
      <c r="V1693" s="26">
        <v>76</v>
      </c>
      <c r="W1693" s="29">
        <v>282.85000000000002</v>
      </c>
      <c r="X1693" s="26">
        <v>24455</v>
      </c>
      <c r="Y1693" s="35">
        <v>6.48</v>
      </c>
      <c r="Z1693" s="1" t="s">
        <v>3014</v>
      </c>
      <c r="AA1693" s="36">
        <v>21.1736</v>
      </c>
      <c r="AB1693" s="54">
        <v>138.59650000000002</v>
      </c>
      <c r="AC1693" s="54">
        <v>1.898072368421053</v>
      </c>
      <c r="AD1693" s="36">
        <v>233.46640000000002</v>
      </c>
    </row>
    <row r="1694" spans="1:30" s="37" customFormat="1" ht="15.75" customHeight="1" x14ac:dyDescent="0.2">
      <c r="A1694" s="26">
        <v>1142</v>
      </c>
      <c r="B1694" s="27" t="s">
        <v>198</v>
      </c>
      <c r="C1694" s="27" t="s">
        <v>116</v>
      </c>
      <c r="D1694" s="28">
        <v>0.01</v>
      </c>
      <c r="E1694" s="29">
        <v>18.97</v>
      </c>
      <c r="F1694" s="29">
        <v>9.5399999999999991</v>
      </c>
      <c r="G1694" s="30" t="s">
        <v>39</v>
      </c>
      <c r="H1694" s="27" t="s">
        <v>71</v>
      </c>
      <c r="I1694" s="27" t="s">
        <v>49</v>
      </c>
      <c r="J1694" s="27" t="s">
        <v>88</v>
      </c>
      <c r="K1694" s="27" t="s">
        <v>73</v>
      </c>
      <c r="L1694" s="31" t="s">
        <v>479</v>
      </c>
      <c r="M1694" s="32">
        <v>0.37</v>
      </c>
      <c r="N1694" s="27" t="s">
        <v>33</v>
      </c>
      <c r="O1694" s="27" t="s">
        <v>53</v>
      </c>
      <c r="P1694" s="27" t="s">
        <v>187</v>
      </c>
      <c r="Q1694" s="27" t="s">
        <v>200</v>
      </c>
      <c r="R1694" s="33">
        <v>76706</v>
      </c>
      <c r="S1694" s="34">
        <v>42161</v>
      </c>
      <c r="T1694" s="34">
        <v>42164</v>
      </c>
      <c r="U1694" s="29">
        <v>85.875</v>
      </c>
      <c r="V1694" s="26">
        <v>11</v>
      </c>
      <c r="W1694" s="29">
        <v>227.67</v>
      </c>
      <c r="X1694" s="26">
        <v>86575</v>
      </c>
      <c r="Y1694" s="35">
        <v>18.959999999999997</v>
      </c>
      <c r="Z1694" s="1" t="s">
        <v>3012</v>
      </c>
      <c r="AA1694" s="36">
        <v>2.0866999999999996</v>
      </c>
      <c r="AB1694" s="54">
        <v>143.43209999999999</v>
      </c>
      <c r="AC1694" s="54">
        <v>7.6579909090909082</v>
      </c>
      <c r="AD1694" s="36">
        <v>130.16829999999999</v>
      </c>
    </row>
    <row r="1695" spans="1:30" s="37" customFormat="1" ht="15.75" customHeight="1" x14ac:dyDescent="0.2">
      <c r="A1695" s="26">
        <v>699</v>
      </c>
      <c r="B1695" s="27" t="s">
        <v>861</v>
      </c>
      <c r="C1695" s="27" t="s">
        <v>26</v>
      </c>
      <c r="D1695" s="28">
        <v>0.02</v>
      </c>
      <c r="E1695" s="29">
        <v>6.47</v>
      </c>
      <c r="F1695" s="29">
        <v>1.22</v>
      </c>
      <c r="G1695" s="30" t="s">
        <v>39</v>
      </c>
      <c r="H1695" s="27" t="s">
        <v>40</v>
      </c>
      <c r="I1695" s="27" t="s">
        <v>49</v>
      </c>
      <c r="J1695" s="27" t="s">
        <v>50</v>
      </c>
      <c r="K1695" s="27" t="s">
        <v>51</v>
      </c>
      <c r="L1695" s="31" t="s">
        <v>2773</v>
      </c>
      <c r="M1695" s="32">
        <v>0.4</v>
      </c>
      <c r="N1695" s="27" t="s">
        <v>33</v>
      </c>
      <c r="O1695" s="27" t="s">
        <v>60</v>
      </c>
      <c r="P1695" s="27" t="s">
        <v>90</v>
      </c>
      <c r="Q1695" s="27" t="s">
        <v>100</v>
      </c>
      <c r="R1695" s="33">
        <v>90041</v>
      </c>
      <c r="S1695" s="34">
        <v>42161</v>
      </c>
      <c r="T1695" s="34">
        <v>42162</v>
      </c>
      <c r="U1695" s="29">
        <v>40.200000000000003</v>
      </c>
      <c r="V1695" s="26">
        <v>30</v>
      </c>
      <c r="W1695" s="29">
        <v>193.95</v>
      </c>
      <c r="X1695" s="26">
        <v>55392</v>
      </c>
      <c r="Y1695" s="35">
        <v>399.93</v>
      </c>
      <c r="Z1695" s="1" t="s">
        <v>3013</v>
      </c>
      <c r="AA1695" s="36">
        <v>3.8819999999999997</v>
      </c>
      <c r="AB1695" s="54">
        <v>116.36999999999999</v>
      </c>
      <c r="AC1695" s="54">
        <v>2.5860000000000003</v>
      </c>
      <c r="AD1695" s="36">
        <v>148.648</v>
      </c>
    </row>
    <row r="1696" spans="1:30" s="37" customFormat="1" ht="15.75" customHeight="1" x14ac:dyDescent="0.2">
      <c r="A1696" s="26">
        <v>699</v>
      </c>
      <c r="B1696" s="27" t="s">
        <v>861</v>
      </c>
      <c r="C1696" s="27" t="s">
        <v>26</v>
      </c>
      <c r="D1696" s="28">
        <v>7.0000000000000007E-2</v>
      </c>
      <c r="E1696" s="29">
        <v>2.84</v>
      </c>
      <c r="F1696" s="29">
        <v>0.93</v>
      </c>
      <c r="G1696" s="30" t="s">
        <v>39</v>
      </c>
      <c r="H1696" s="27" t="s">
        <v>40</v>
      </c>
      <c r="I1696" s="27" t="s">
        <v>49</v>
      </c>
      <c r="J1696" s="27" t="s">
        <v>50</v>
      </c>
      <c r="K1696" s="27" t="s">
        <v>51</v>
      </c>
      <c r="L1696" s="31" t="s">
        <v>292</v>
      </c>
      <c r="M1696" s="32">
        <v>0.54</v>
      </c>
      <c r="N1696" s="27" t="s">
        <v>33</v>
      </c>
      <c r="O1696" s="27" t="s">
        <v>60</v>
      </c>
      <c r="P1696" s="27" t="s">
        <v>90</v>
      </c>
      <c r="Q1696" s="27" t="s">
        <v>100</v>
      </c>
      <c r="R1696" s="33">
        <v>90041</v>
      </c>
      <c r="S1696" s="34">
        <v>42161</v>
      </c>
      <c r="T1696" s="34">
        <v>42163</v>
      </c>
      <c r="U1696" s="29">
        <v>3.21</v>
      </c>
      <c r="V1696" s="26">
        <v>59</v>
      </c>
      <c r="W1696" s="29">
        <v>158.80000000000001</v>
      </c>
      <c r="X1696" s="26">
        <v>55392</v>
      </c>
      <c r="Y1696" s="35">
        <v>6.41</v>
      </c>
      <c r="Z1696" s="1" t="s">
        <v>3013</v>
      </c>
      <c r="AA1696" s="36">
        <v>11.729200000000001</v>
      </c>
      <c r="AB1696" s="54">
        <v>73.048000000000002</v>
      </c>
      <c r="AC1696" s="54">
        <v>1.4534237288135596</v>
      </c>
      <c r="AD1696" s="36">
        <v>142.9308</v>
      </c>
    </row>
    <row r="1697" spans="1:30" s="37" customFormat="1" ht="15.75" customHeight="1" x14ac:dyDescent="0.2">
      <c r="A1697" s="26">
        <v>2107</v>
      </c>
      <c r="B1697" s="27" t="s">
        <v>2779</v>
      </c>
      <c r="C1697" s="27" t="s">
        <v>116</v>
      </c>
      <c r="D1697" s="28">
        <v>7.0000000000000007E-2</v>
      </c>
      <c r="E1697" s="29">
        <v>6.48</v>
      </c>
      <c r="F1697" s="29">
        <v>5.74</v>
      </c>
      <c r="G1697" s="30" t="s">
        <v>39</v>
      </c>
      <c r="H1697" s="27" t="s">
        <v>94</v>
      </c>
      <c r="I1697" s="27" t="s">
        <v>49</v>
      </c>
      <c r="J1697" s="27" t="s">
        <v>88</v>
      </c>
      <c r="K1697" s="27" t="s">
        <v>73</v>
      </c>
      <c r="L1697" s="31" t="s">
        <v>2780</v>
      </c>
      <c r="M1697" s="32">
        <v>0.37</v>
      </c>
      <c r="N1697" s="27" t="s">
        <v>33</v>
      </c>
      <c r="O1697" s="27" t="s">
        <v>53</v>
      </c>
      <c r="P1697" s="27" t="s">
        <v>103</v>
      </c>
      <c r="Q1697" s="27" t="s">
        <v>533</v>
      </c>
      <c r="R1697" s="33">
        <v>60601</v>
      </c>
      <c r="S1697" s="34">
        <v>42161</v>
      </c>
      <c r="T1697" s="34">
        <v>42161</v>
      </c>
      <c r="U1697" s="29">
        <v>-28.45</v>
      </c>
      <c r="V1697" s="26">
        <v>20</v>
      </c>
      <c r="W1697" s="29">
        <v>134.58000000000001</v>
      </c>
      <c r="X1697" s="26">
        <v>39015</v>
      </c>
      <c r="Y1697" s="35">
        <v>6.41</v>
      </c>
      <c r="Z1697" s="1" t="s">
        <v>3012</v>
      </c>
      <c r="AA1697" s="36">
        <v>9.072000000000001</v>
      </c>
      <c r="AB1697" s="54">
        <v>84.78540000000001</v>
      </c>
      <c r="AC1697" s="54">
        <v>2.4897300000000002</v>
      </c>
      <c r="AD1697" s="36">
        <v>148.21800000000002</v>
      </c>
    </row>
    <row r="1698" spans="1:30" s="37" customFormat="1" ht="15.75" customHeight="1" x14ac:dyDescent="0.2">
      <c r="A1698" s="26">
        <v>1341</v>
      </c>
      <c r="B1698" s="27" t="s">
        <v>1086</v>
      </c>
      <c r="C1698" s="27" t="s">
        <v>3094</v>
      </c>
      <c r="D1698" s="28">
        <v>0</v>
      </c>
      <c r="E1698" s="29">
        <v>20.89</v>
      </c>
      <c r="F1698" s="29">
        <v>1.99</v>
      </c>
      <c r="G1698" s="30" t="s">
        <v>39</v>
      </c>
      <c r="H1698" s="27" t="s">
        <v>71</v>
      </c>
      <c r="I1698" s="27" t="s">
        <v>41</v>
      </c>
      <c r="J1698" s="27" t="s">
        <v>42</v>
      </c>
      <c r="K1698" s="27" t="s">
        <v>43</v>
      </c>
      <c r="L1698" s="31" t="s">
        <v>2786</v>
      </c>
      <c r="M1698" s="32">
        <v>0.48</v>
      </c>
      <c r="N1698" s="27" t="s">
        <v>33</v>
      </c>
      <c r="O1698" s="27" t="s">
        <v>111</v>
      </c>
      <c r="P1698" s="27" t="s">
        <v>320</v>
      </c>
      <c r="Q1698" s="27" t="s">
        <v>1087</v>
      </c>
      <c r="R1698" s="33">
        <v>17201</v>
      </c>
      <c r="S1698" s="34">
        <v>42161</v>
      </c>
      <c r="T1698" s="34">
        <v>42163</v>
      </c>
      <c r="U1698" s="29">
        <v>-5.2949999999999999</v>
      </c>
      <c r="V1698" s="26">
        <v>4</v>
      </c>
      <c r="W1698" s="29">
        <v>84.56</v>
      </c>
      <c r="X1698" s="26">
        <v>91245</v>
      </c>
      <c r="Y1698" s="35">
        <v>49.99</v>
      </c>
      <c r="Z1698" s="1" t="s">
        <v>3014</v>
      </c>
      <c r="AA1698" s="36">
        <v>0</v>
      </c>
      <c r="AB1698" s="54">
        <v>43.971200000000003</v>
      </c>
      <c r="AC1698" s="54">
        <v>10.1472</v>
      </c>
      <c r="AD1698" s="36">
        <v>87.865000000000009</v>
      </c>
    </row>
    <row r="1699" spans="1:30" s="37" customFormat="1" ht="15.75" customHeight="1" x14ac:dyDescent="0.2">
      <c r="A1699" s="26">
        <v>3045</v>
      </c>
      <c r="B1699" s="27" t="s">
        <v>2776</v>
      </c>
      <c r="C1699" s="27" t="s">
        <v>38</v>
      </c>
      <c r="D1699" s="28">
        <v>0</v>
      </c>
      <c r="E1699" s="29">
        <v>6.48</v>
      </c>
      <c r="F1699" s="29">
        <v>5.19</v>
      </c>
      <c r="G1699" s="30" t="s">
        <v>39</v>
      </c>
      <c r="H1699" s="27" t="s">
        <v>3095</v>
      </c>
      <c r="I1699" s="27" t="s">
        <v>49</v>
      </c>
      <c r="J1699" s="27" t="s">
        <v>88</v>
      </c>
      <c r="K1699" s="27" t="s">
        <v>73</v>
      </c>
      <c r="L1699" s="31" t="s">
        <v>2777</v>
      </c>
      <c r="M1699" s="32">
        <v>0.37</v>
      </c>
      <c r="N1699" s="27" t="s">
        <v>33</v>
      </c>
      <c r="O1699" s="27" t="s">
        <v>53</v>
      </c>
      <c r="P1699" s="27" t="s">
        <v>537</v>
      </c>
      <c r="Q1699" s="27" t="s">
        <v>2778</v>
      </c>
      <c r="R1699" s="33">
        <v>66048</v>
      </c>
      <c r="S1699" s="34">
        <v>42161</v>
      </c>
      <c r="T1699" s="34">
        <v>42162</v>
      </c>
      <c r="U1699" s="29">
        <v>-14.074999999999999</v>
      </c>
      <c r="V1699" s="26">
        <v>12</v>
      </c>
      <c r="W1699" s="29">
        <v>84.04</v>
      </c>
      <c r="X1699" s="26">
        <v>86104</v>
      </c>
      <c r="Y1699" s="35">
        <v>140.72999999999999</v>
      </c>
      <c r="Z1699" s="1" t="s">
        <v>3012</v>
      </c>
      <c r="AA1699" s="36">
        <v>0</v>
      </c>
      <c r="AB1699" s="54">
        <v>52.945200000000007</v>
      </c>
      <c r="AC1699" s="54">
        <v>2.5912333333333333</v>
      </c>
      <c r="AD1699" s="36">
        <v>92.925000000000011</v>
      </c>
    </row>
    <row r="1700" spans="1:30" s="37" customFormat="1" ht="15.75" customHeight="1" x14ac:dyDescent="0.2">
      <c r="A1700" s="26">
        <v>1341</v>
      </c>
      <c r="B1700" s="27" t="s">
        <v>1086</v>
      </c>
      <c r="C1700" s="27" t="s">
        <v>3094</v>
      </c>
      <c r="D1700" s="28">
        <v>7.0000000000000007E-2</v>
      </c>
      <c r="E1700" s="29">
        <v>3.98</v>
      </c>
      <c r="F1700" s="29">
        <v>0.83</v>
      </c>
      <c r="G1700" s="30" t="s">
        <v>39</v>
      </c>
      <c r="H1700" s="27" t="s">
        <v>71</v>
      </c>
      <c r="I1700" s="27" t="s">
        <v>49</v>
      </c>
      <c r="J1700" s="27" t="s">
        <v>50</v>
      </c>
      <c r="K1700" s="27" t="s">
        <v>51</v>
      </c>
      <c r="L1700" s="31" t="s">
        <v>2785</v>
      </c>
      <c r="M1700" s="32">
        <v>0.51</v>
      </c>
      <c r="N1700" s="27" t="s">
        <v>33</v>
      </c>
      <c r="O1700" s="27" t="s">
        <v>111</v>
      </c>
      <c r="P1700" s="27" t="s">
        <v>320</v>
      </c>
      <c r="Q1700" s="27" t="s">
        <v>1087</v>
      </c>
      <c r="R1700" s="33">
        <v>17201</v>
      </c>
      <c r="S1700" s="34">
        <v>42161</v>
      </c>
      <c r="T1700" s="34">
        <v>42164</v>
      </c>
      <c r="U1700" s="29">
        <v>41.07</v>
      </c>
      <c r="V1700" s="26">
        <v>19</v>
      </c>
      <c r="W1700" s="29">
        <v>70.709999999999994</v>
      </c>
      <c r="X1700" s="26">
        <v>91245</v>
      </c>
      <c r="Y1700" s="35">
        <v>3.91</v>
      </c>
      <c r="Z1700" s="1" t="s">
        <v>3014</v>
      </c>
      <c r="AA1700" s="36">
        <v>5.2934000000000001</v>
      </c>
      <c r="AB1700" s="54">
        <v>34.647899999999993</v>
      </c>
      <c r="AC1700" s="54">
        <v>1.8980052631578945</v>
      </c>
      <c r="AD1700" s="36">
        <v>23.516599999999997</v>
      </c>
    </row>
    <row r="1701" spans="1:30" s="37" customFormat="1" ht="15.75" customHeight="1" x14ac:dyDescent="0.2">
      <c r="A1701" s="26">
        <v>711</v>
      </c>
      <c r="B1701" s="27" t="s">
        <v>2774</v>
      </c>
      <c r="C1701" s="27" t="s">
        <v>26</v>
      </c>
      <c r="D1701" s="28">
        <v>7.0000000000000007E-2</v>
      </c>
      <c r="E1701" s="29">
        <v>2.84</v>
      </c>
      <c r="F1701" s="29">
        <v>0.93</v>
      </c>
      <c r="G1701" s="30" t="s">
        <v>39</v>
      </c>
      <c r="H1701" s="27" t="s">
        <v>40</v>
      </c>
      <c r="I1701" s="27" t="s">
        <v>49</v>
      </c>
      <c r="J1701" s="27" t="s">
        <v>50</v>
      </c>
      <c r="K1701" s="27" t="s">
        <v>51</v>
      </c>
      <c r="L1701" s="31" t="s">
        <v>292</v>
      </c>
      <c r="M1701" s="32">
        <v>0.54</v>
      </c>
      <c r="N1701" s="27" t="s">
        <v>33</v>
      </c>
      <c r="O1701" s="27" t="s">
        <v>111</v>
      </c>
      <c r="P1701" s="27" t="s">
        <v>403</v>
      </c>
      <c r="Q1701" s="27" t="s">
        <v>2775</v>
      </c>
      <c r="R1701" s="33">
        <v>2152</v>
      </c>
      <c r="S1701" s="34">
        <v>42161</v>
      </c>
      <c r="T1701" s="34">
        <v>42163</v>
      </c>
      <c r="U1701" s="29">
        <v>3.8519999999999999</v>
      </c>
      <c r="V1701" s="26">
        <v>15</v>
      </c>
      <c r="W1701" s="29">
        <v>40.369999999999997</v>
      </c>
      <c r="X1701" s="26">
        <v>87978</v>
      </c>
      <c r="Y1701" s="35">
        <v>20.89</v>
      </c>
      <c r="Z1701" s="1" t="s">
        <v>3014</v>
      </c>
      <c r="AA1701" s="36">
        <v>2.9820000000000002</v>
      </c>
      <c r="AB1701" s="54">
        <v>18.570199999999996</v>
      </c>
      <c r="AC1701" s="54">
        <v>1.4533199999999999</v>
      </c>
      <c r="AD1701" s="36">
        <v>32.605999999999995</v>
      </c>
    </row>
    <row r="1702" spans="1:30" s="37" customFormat="1" ht="15.75" customHeight="1" x14ac:dyDescent="0.2">
      <c r="A1702" s="26">
        <v>2432</v>
      </c>
      <c r="B1702" s="27" t="s">
        <v>2571</v>
      </c>
      <c r="C1702" s="27" t="s">
        <v>3094</v>
      </c>
      <c r="D1702" s="28">
        <v>0.09</v>
      </c>
      <c r="E1702" s="29">
        <v>5.4</v>
      </c>
      <c r="F1702" s="29">
        <v>7.78</v>
      </c>
      <c r="G1702" s="30" t="s">
        <v>87</v>
      </c>
      <c r="H1702" s="27" t="s">
        <v>40</v>
      </c>
      <c r="I1702" s="27" t="s">
        <v>49</v>
      </c>
      <c r="J1702" s="27" t="s">
        <v>72</v>
      </c>
      <c r="K1702" s="27" t="s">
        <v>73</v>
      </c>
      <c r="L1702" s="31" t="s">
        <v>1484</v>
      </c>
      <c r="M1702" s="32">
        <v>0.37</v>
      </c>
      <c r="N1702" s="27" t="s">
        <v>33</v>
      </c>
      <c r="O1702" s="27" t="s">
        <v>53</v>
      </c>
      <c r="P1702" s="27" t="s">
        <v>207</v>
      </c>
      <c r="Q1702" s="27" t="s">
        <v>2572</v>
      </c>
      <c r="R1702" s="33">
        <v>73110</v>
      </c>
      <c r="S1702" s="34">
        <v>42161</v>
      </c>
      <c r="T1702" s="34">
        <v>42163</v>
      </c>
      <c r="U1702" s="29">
        <v>-34.764499999999998</v>
      </c>
      <c r="V1702" s="26">
        <v>6</v>
      </c>
      <c r="W1702" s="29">
        <v>37.380000000000003</v>
      </c>
      <c r="X1702" s="26">
        <v>89097</v>
      </c>
      <c r="Y1702" s="35">
        <v>3.91</v>
      </c>
      <c r="Z1702" s="1" t="s">
        <v>3012</v>
      </c>
      <c r="AA1702" s="36">
        <v>2.9159999999999999</v>
      </c>
      <c r="AB1702" s="54">
        <v>23.549400000000002</v>
      </c>
      <c r="AC1702" s="54">
        <v>2.3050999999999999</v>
      </c>
      <c r="AD1702" s="36">
        <v>61.448499999999996</v>
      </c>
    </row>
    <row r="1703" spans="1:30" s="37" customFormat="1" ht="15.75" customHeight="1" x14ac:dyDescent="0.2">
      <c r="A1703" s="26">
        <v>2108</v>
      </c>
      <c r="B1703" s="27" t="s">
        <v>2781</v>
      </c>
      <c r="C1703" s="27" t="s">
        <v>116</v>
      </c>
      <c r="D1703" s="28">
        <v>7.0000000000000007E-2</v>
      </c>
      <c r="E1703" s="29">
        <v>6.48</v>
      </c>
      <c r="F1703" s="29">
        <v>5.74</v>
      </c>
      <c r="G1703" s="30" t="s">
        <v>39</v>
      </c>
      <c r="H1703" s="27" t="s">
        <v>94</v>
      </c>
      <c r="I1703" s="27" t="s">
        <v>49</v>
      </c>
      <c r="J1703" s="27" t="s">
        <v>88</v>
      </c>
      <c r="K1703" s="27" t="s">
        <v>73</v>
      </c>
      <c r="L1703" s="31" t="s">
        <v>2780</v>
      </c>
      <c r="M1703" s="32">
        <v>0.37</v>
      </c>
      <c r="N1703" s="27" t="s">
        <v>33</v>
      </c>
      <c r="O1703" s="27" t="s">
        <v>53</v>
      </c>
      <c r="P1703" s="27" t="s">
        <v>80</v>
      </c>
      <c r="Q1703" s="27" t="s">
        <v>2782</v>
      </c>
      <c r="R1703" s="33">
        <v>63129</v>
      </c>
      <c r="S1703" s="34">
        <v>42161</v>
      </c>
      <c r="T1703" s="34">
        <v>42161</v>
      </c>
      <c r="U1703" s="29">
        <v>-14.225</v>
      </c>
      <c r="V1703" s="26">
        <v>5</v>
      </c>
      <c r="W1703" s="29">
        <v>33.65</v>
      </c>
      <c r="X1703" s="26">
        <v>87862</v>
      </c>
      <c r="Y1703" s="35">
        <v>5.3100000000000005</v>
      </c>
      <c r="Z1703" s="1" t="s">
        <v>3012</v>
      </c>
      <c r="AA1703" s="36">
        <v>2.2680000000000002</v>
      </c>
      <c r="AB1703" s="54">
        <v>21.1995</v>
      </c>
      <c r="AC1703" s="54">
        <v>2.4901</v>
      </c>
      <c r="AD1703" s="36">
        <v>39.866999999999997</v>
      </c>
    </row>
    <row r="1704" spans="1:30" s="37" customFormat="1" ht="15.75" customHeight="1" x14ac:dyDescent="0.2">
      <c r="A1704" s="26">
        <v>3397</v>
      </c>
      <c r="B1704" s="27" t="s">
        <v>1584</v>
      </c>
      <c r="C1704" s="27" t="s">
        <v>48</v>
      </c>
      <c r="D1704" s="28">
        <v>0</v>
      </c>
      <c r="E1704" s="29">
        <v>1270.99</v>
      </c>
      <c r="F1704" s="29">
        <v>19.989999999999998</v>
      </c>
      <c r="G1704" s="30" t="s">
        <v>39</v>
      </c>
      <c r="H1704" s="27" t="s">
        <v>3095</v>
      </c>
      <c r="I1704" s="27" t="s">
        <v>49</v>
      </c>
      <c r="J1704" s="27" t="s">
        <v>72</v>
      </c>
      <c r="K1704" s="27" t="s">
        <v>73</v>
      </c>
      <c r="L1704" s="31" t="s">
        <v>652</v>
      </c>
      <c r="M1704" s="32">
        <v>0.35</v>
      </c>
      <c r="N1704" s="27" t="s">
        <v>33</v>
      </c>
      <c r="O1704" s="27" t="s">
        <v>53</v>
      </c>
      <c r="P1704" s="27" t="s">
        <v>103</v>
      </c>
      <c r="Q1704" s="27" t="s">
        <v>1586</v>
      </c>
      <c r="R1704" s="33">
        <v>61832</v>
      </c>
      <c r="S1704" s="34">
        <v>42162</v>
      </c>
      <c r="T1704" s="34">
        <v>42164</v>
      </c>
      <c r="U1704" s="29">
        <v>6384.4389000000001</v>
      </c>
      <c r="V1704" s="26">
        <v>7</v>
      </c>
      <c r="W1704" s="29">
        <v>9252.81</v>
      </c>
      <c r="X1704" s="26">
        <v>87535</v>
      </c>
      <c r="Y1704" s="35">
        <v>43.949999999999996</v>
      </c>
      <c r="Z1704" s="1" t="s">
        <v>3012</v>
      </c>
      <c r="AA1704" s="36">
        <v>0</v>
      </c>
      <c r="AB1704" s="54">
        <v>6014.3265000000001</v>
      </c>
      <c r="AC1704" s="54">
        <v>462.64049999999992</v>
      </c>
      <c r="AD1704" s="36">
        <v>2848.3810999999996</v>
      </c>
    </row>
    <row r="1705" spans="1:30" s="37" customFormat="1" ht="15.75" customHeight="1" x14ac:dyDescent="0.2">
      <c r="A1705" s="26">
        <v>1384</v>
      </c>
      <c r="B1705" s="27" t="s">
        <v>2791</v>
      </c>
      <c r="C1705" s="27" t="s">
        <v>48</v>
      </c>
      <c r="D1705" s="28">
        <v>0.02</v>
      </c>
      <c r="E1705" s="29">
        <v>70.97</v>
      </c>
      <c r="F1705" s="29">
        <v>3.5</v>
      </c>
      <c r="G1705" s="30" t="s">
        <v>39</v>
      </c>
      <c r="H1705" s="27" t="s">
        <v>40</v>
      </c>
      <c r="I1705" s="27" t="s">
        <v>49</v>
      </c>
      <c r="J1705" s="27" t="s">
        <v>95</v>
      </c>
      <c r="K1705" s="27" t="s">
        <v>73</v>
      </c>
      <c r="L1705" s="31" t="s">
        <v>2177</v>
      </c>
      <c r="M1705" s="32">
        <v>0.59</v>
      </c>
      <c r="N1705" s="27" t="s">
        <v>33</v>
      </c>
      <c r="O1705" s="27" t="s">
        <v>34</v>
      </c>
      <c r="P1705" s="27" t="s">
        <v>242</v>
      </c>
      <c r="Q1705" s="27" t="s">
        <v>2732</v>
      </c>
      <c r="R1705" s="33">
        <v>22304</v>
      </c>
      <c r="S1705" s="34">
        <v>42162</v>
      </c>
      <c r="T1705" s="34">
        <v>42169</v>
      </c>
      <c r="U1705" s="29">
        <v>23.616</v>
      </c>
      <c r="V1705" s="26">
        <v>21</v>
      </c>
      <c r="W1705" s="29">
        <v>1533.59</v>
      </c>
      <c r="X1705" s="26">
        <v>89408</v>
      </c>
      <c r="Y1705" s="35">
        <v>4.6899999999999995</v>
      </c>
      <c r="Z1705" s="1" t="s">
        <v>3011</v>
      </c>
      <c r="AA1705" s="36">
        <v>29.807400000000001</v>
      </c>
      <c r="AB1705" s="54">
        <v>628.77189999999996</v>
      </c>
      <c r="AC1705" s="54">
        <v>43.086576190476187</v>
      </c>
      <c r="AD1705" s="36">
        <v>1476.6666</v>
      </c>
    </row>
    <row r="1706" spans="1:30" s="37" customFormat="1" ht="15.75" customHeight="1" x14ac:dyDescent="0.2">
      <c r="A1706" s="26">
        <v>2583</v>
      </c>
      <c r="B1706" s="27" t="s">
        <v>2794</v>
      </c>
      <c r="C1706" s="27" t="s">
        <v>116</v>
      </c>
      <c r="D1706" s="28">
        <v>0.04</v>
      </c>
      <c r="E1706" s="29">
        <v>510.14</v>
      </c>
      <c r="F1706" s="29">
        <v>14.7</v>
      </c>
      <c r="G1706" s="30" t="s">
        <v>27</v>
      </c>
      <c r="H1706" s="27" t="s">
        <v>71</v>
      </c>
      <c r="I1706" s="27" t="s">
        <v>41</v>
      </c>
      <c r="J1706" s="27" t="s">
        <v>57</v>
      </c>
      <c r="K1706" s="27" t="s">
        <v>58</v>
      </c>
      <c r="L1706" s="31" t="s">
        <v>2795</v>
      </c>
      <c r="M1706" s="32">
        <v>0.56000000000000005</v>
      </c>
      <c r="N1706" s="27" t="s">
        <v>33</v>
      </c>
      <c r="O1706" s="27" t="s">
        <v>53</v>
      </c>
      <c r="P1706" s="27" t="s">
        <v>289</v>
      </c>
      <c r="Q1706" s="27" t="s">
        <v>2796</v>
      </c>
      <c r="R1706" s="33">
        <v>49423</v>
      </c>
      <c r="S1706" s="34">
        <v>42162</v>
      </c>
      <c r="T1706" s="34">
        <v>42164</v>
      </c>
      <c r="U1706" s="29">
        <v>-251.40389999999999</v>
      </c>
      <c r="V1706" s="26">
        <v>3</v>
      </c>
      <c r="W1706" s="29">
        <v>1527.97</v>
      </c>
      <c r="X1706" s="26">
        <v>89657</v>
      </c>
      <c r="Y1706" s="35">
        <v>48.019999999999996</v>
      </c>
      <c r="Z1706" s="1" t="s">
        <v>3012</v>
      </c>
      <c r="AA1706" s="36">
        <v>61.216799999999999</v>
      </c>
      <c r="AB1706" s="54">
        <v>672.30679999999995</v>
      </c>
      <c r="AC1706" s="54">
        <v>285.22106666666667</v>
      </c>
      <c r="AD1706" s="36">
        <v>1703.4571000000001</v>
      </c>
    </row>
    <row r="1707" spans="1:30" s="37" customFormat="1" ht="15.75" customHeight="1" x14ac:dyDescent="0.2">
      <c r="A1707" s="26">
        <v>2920</v>
      </c>
      <c r="B1707" s="27" t="s">
        <v>2798</v>
      </c>
      <c r="C1707" s="27" t="s">
        <v>116</v>
      </c>
      <c r="D1707" s="28">
        <v>0.05</v>
      </c>
      <c r="E1707" s="29">
        <v>535.64</v>
      </c>
      <c r="F1707" s="29">
        <v>14.7</v>
      </c>
      <c r="G1707" s="30" t="s">
        <v>27</v>
      </c>
      <c r="H1707" s="27" t="s">
        <v>71</v>
      </c>
      <c r="I1707" s="27" t="s">
        <v>41</v>
      </c>
      <c r="J1707" s="27" t="s">
        <v>57</v>
      </c>
      <c r="K1707" s="27" t="s">
        <v>58</v>
      </c>
      <c r="L1707" s="31" t="s">
        <v>1466</v>
      </c>
      <c r="M1707" s="32">
        <v>0.59</v>
      </c>
      <c r="N1707" s="27" t="s">
        <v>33</v>
      </c>
      <c r="O1707" s="27" t="s">
        <v>53</v>
      </c>
      <c r="P1707" s="27" t="s">
        <v>103</v>
      </c>
      <c r="Q1707" s="27" t="s">
        <v>533</v>
      </c>
      <c r="R1707" s="33">
        <v>60603</v>
      </c>
      <c r="S1707" s="34">
        <v>42162</v>
      </c>
      <c r="T1707" s="34">
        <v>42164</v>
      </c>
      <c r="U1707" s="29">
        <v>-1220.9145000000001</v>
      </c>
      <c r="V1707" s="26">
        <v>2</v>
      </c>
      <c r="W1707" s="29">
        <v>1068.5999999999999</v>
      </c>
      <c r="X1707" s="26">
        <v>59365</v>
      </c>
      <c r="Y1707" s="35">
        <v>70.95</v>
      </c>
      <c r="Z1707" s="1" t="s">
        <v>3012</v>
      </c>
      <c r="AA1707" s="36">
        <v>53.564</v>
      </c>
      <c r="AB1707" s="54">
        <v>438.12599999999998</v>
      </c>
      <c r="AC1707" s="54">
        <v>315.23699999999997</v>
      </c>
      <c r="AD1707" s="36">
        <v>2221.2505000000001</v>
      </c>
    </row>
    <row r="1708" spans="1:30" s="37" customFormat="1" ht="15.75" customHeight="1" x14ac:dyDescent="0.2">
      <c r="A1708" s="26">
        <v>1672</v>
      </c>
      <c r="B1708" s="27" t="s">
        <v>2792</v>
      </c>
      <c r="C1708" s="27" t="s">
        <v>48</v>
      </c>
      <c r="D1708" s="28">
        <v>0.08</v>
      </c>
      <c r="E1708" s="29">
        <v>55.48</v>
      </c>
      <c r="F1708" s="29">
        <v>14.3</v>
      </c>
      <c r="G1708" s="30" t="s">
        <v>39</v>
      </c>
      <c r="H1708" s="27" t="s">
        <v>3095</v>
      </c>
      <c r="I1708" s="27" t="s">
        <v>49</v>
      </c>
      <c r="J1708" s="27" t="s">
        <v>88</v>
      </c>
      <c r="K1708" s="27" t="s">
        <v>73</v>
      </c>
      <c r="L1708" s="31" t="s">
        <v>847</v>
      </c>
      <c r="M1708" s="32">
        <v>0.37</v>
      </c>
      <c r="N1708" s="27" t="s">
        <v>33</v>
      </c>
      <c r="O1708" s="27" t="s">
        <v>34</v>
      </c>
      <c r="P1708" s="27" t="s">
        <v>242</v>
      </c>
      <c r="Q1708" s="27" t="s">
        <v>2793</v>
      </c>
      <c r="R1708" s="33">
        <v>22901</v>
      </c>
      <c r="S1708" s="34">
        <v>42162</v>
      </c>
      <c r="T1708" s="34">
        <v>42164</v>
      </c>
      <c r="U1708" s="29">
        <v>-225.56379999999999</v>
      </c>
      <c r="V1708" s="26">
        <v>17</v>
      </c>
      <c r="W1708" s="29">
        <v>942.53</v>
      </c>
      <c r="X1708" s="26">
        <v>86723</v>
      </c>
      <c r="Y1708" s="35">
        <v>284.96000000000004</v>
      </c>
      <c r="Z1708" s="1" t="s">
        <v>3011</v>
      </c>
      <c r="AA1708" s="36">
        <v>75.452799999999996</v>
      </c>
      <c r="AB1708" s="54">
        <v>593.79390000000001</v>
      </c>
      <c r="AC1708" s="54">
        <v>20.513888235294115</v>
      </c>
      <c r="AD1708" s="36">
        <v>1078.3409999999999</v>
      </c>
    </row>
    <row r="1709" spans="1:30" s="37" customFormat="1" ht="15.75" customHeight="1" x14ac:dyDescent="0.2">
      <c r="A1709" s="26">
        <v>1672</v>
      </c>
      <c r="B1709" s="27" t="s">
        <v>2792</v>
      </c>
      <c r="C1709" s="27" t="s">
        <v>48</v>
      </c>
      <c r="D1709" s="28">
        <v>0.02</v>
      </c>
      <c r="E1709" s="29">
        <v>284.98</v>
      </c>
      <c r="F1709" s="29">
        <v>69.55</v>
      </c>
      <c r="G1709" s="30" t="s">
        <v>27</v>
      </c>
      <c r="H1709" s="27" t="s">
        <v>3095</v>
      </c>
      <c r="I1709" s="27" t="s">
        <v>29</v>
      </c>
      <c r="J1709" s="27" t="s">
        <v>109</v>
      </c>
      <c r="K1709" s="27" t="s">
        <v>58</v>
      </c>
      <c r="L1709" s="31" t="s">
        <v>1415</v>
      </c>
      <c r="M1709" s="32">
        <v>0.6</v>
      </c>
      <c r="N1709" s="27" t="s">
        <v>33</v>
      </c>
      <c r="O1709" s="27" t="s">
        <v>34</v>
      </c>
      <c r="P1709" s="27" t="s">
        <v>242</v>
      </c>
      <c r="Q1709" s="27" t="s">
        <v>2793</v>
      </c>
      <c r="R1709" s="33">
        <v>22901</v>
      </c>
      <c r="S1709" s="34">
        <v>42162</v>
      </c>
      <c r="T1709" s="34">
        <v>42167</v>
      </c>
      <c r="U1709" s="29">
        <v>15.528</v>
      </c>
      <c r="V1709" s="26">
        <v>3</v>
      </c>
      <c r="W1709" s="29">
        <v>926.3</v>
      </c>
      <c r="X1709" s="26">
        <v>86723</v>
      </c>
      <c r="Y1709" s="35">
        <v>55.4</v>
      </c>
      <c r="Z1709" s="1" t="s">
        <v>3011</v>
      </c>
      <c r="AA1709" s="36">
        <v>17.098800000000001</v>
      </c>
      <c r="AB1709" s="54">
        <v>370.52</v>
      </c>
      <c r="AC1709" s="54">
        <v>185.26</v>
      </c>
      <c r="AD1709" s="36">
        <v>824.1232</v>
      </c>
    </row>
    <row r="1710" spans="1:30" s="37" customFormat="1" ht="15.75" customHeight="1" x14ac:dyDescent="0.2">
      <c r="A1710" s="26">
        <v>737</v>
      </c>
      <c r="B1710" s="27" t="s">
        <v>2789</v>
      </c>
      <c r="C1710" s="27" t="s">
        <v>48</v>
      </c>
      <c r="D1710" s="28">
        <v>0.02</v>
      </c>
      <c r="E1710" s="29">
        <v>48.04</v>
      </c>
      <c r="F1710" s="29">
        <v>5.79</v>
      </c>
      <c r="G1710" s="30" t="s">
        <v>39</v>
      </c>
      <c r="H1710" s="27" t="s">
        <v>40</v>
      </c>
      <c r="I1710" s="27" t="s">
        <v>49</v>
      </c>
      <c r="J1710" s="27" t="s">
        <v>88</v>
      </c>
      <c r="K1710" s="27" t="s">
        <v>73</v>
      </c>
      <c r="L1710" s="31" t="s">
        <v>2201</v>
      </c>
      <c r="M1710" s="32">
        <v>0.37</v>
      </c>
      <c r="N1710" s="27" t="s">
        <v>33</v>
      </c>
      <c r="O1710" s="27" t="s">
        <v>111</v>
      </c>
      <c r="P1710" s="27" t="s">
        <v>397</v>
      </c>
      <c r="Q1710" s="27" t="s">
        <v>2790</v>
      </c>
      <c r="R1710" s="33">
        <v>7003</v>
      </c>
      <c r="S1710" s="34">
        <v>42162</v>
      </c>
      <c r="T1710" s="34">
        <v>42169</v>
      </c>
      <c r="U1710" s="29">
        <v>422.45249999999999</v>
      </c>
      <c r="V1710" s="26">
        <v>12</v>
      </c>
      <c r="W1710" s="29">
        <v>612.25</v>
      </c>
      <c r="X1710" s="26">
        <v>90360</v>
      </c>
      <c r="Y1710" s="35">
        <v>1270.99</v>
      </c>
      <c r="Z1710" s="1" t="s">
        <v>3014</v>
      </c>
      <c r="AA1710" s="36">
        <v>11.5296</v>
      </c>
      <c r="AB1710" s="54">
        <v>385.71750000000003</v>
      </c>
      <c r="AC1710" s="54">
        <v>18.877708333333334</v>
      </c>
      <c r="AD1710" s="36">
        <v>172.47789999999998</v>
      </c>
    </row>
    <row r="1711" spans="1:30" s="37" customFormat="1" ht="15.75" customHeight="1" x14ac:dyDescent="0.2">
      <c r="A1711" s="26">
        <v>92</v>
      </c>
      <c r="B1711" s="27" t="s">
        <v>2543</v>
      </c>
      <c r="C1711" s="27" t="s">
        <v>116</v>
      </c>
      <c r="D1711" s="28">
        <v>0.04</v>
      </c>
      <c r="E1711" s="29">
        <v>12.98</v>
      </c>
      <c r="F1711" s="29">
        <v>3.14</v>
      </c>
      <c r="G1711" s="30" t="s">
        <v>87</v>
      </c>
      <c r="H1711" s="27" t="s">
        <v>94</v>
      </c>
      <c r="I1711" s="27" t="s">
        <v>49</v>
      </c>
      <c r="J1711" s="27" t="s">
        <v>568</v>
      </c>
      <c r="K1711" s="27" t="s">
        <v>43</v>
      </c>
      <c r="L1711" s="31" t="s">
        <v>569</v>
      </c>
      <c r="M1711" s="32">
        <v>0.6</v>
      </c>
      <c r="N1711" s="27" t="s">
        <v>33</v>
      </c>
      <c r="O1711" s="27" t="s">
        <v>34</v>
      </c>
      <c r="P1711" s="27" t="s">
        <v>168</v>
      </c>
      <c r="Q1711" s="27" t="s">
        <v>2545</v>
      </c>
      <c r="R1711" s="33">
        <v>70056</v>
      </c>
      <c r="S1711" s="34">
        <v>42162</v>
      </c>
      <c r="T1711" s="34">
        <v>42164</v>
      </c>
      <c r="U1711" s="29">
        <v>22.818000000000001</v>
      </c>
      <c r="V1711" s="26">
        <v>16</v>
      </c>
      <c r="W1711" s="29">
        <v>216.04</v>
      </c>
      <c r="X1711" s="26">
        <v>87178</v>
      </c>
      <c r="Y1711" s="35">
        <v>12.940000000000001</v>
      </c>
      <c r="Z1711" s="1" t="s">
        <v>3011</v>
      </c>
      <c r="AA1711" s="36">
        <v>8.3071999999999999</v>
      </c>
      <c r="AB1711" s="54">
        <v>86.415999999999997</v>
      </c>
      <c r="AC1711" s="54">
        <v>8.1014999999999997</v>
      </c>
      <c r="AD1711" s="36">
        <v>181.7748</v>
      </c>
    </row>
    <row r="1712" spans="1:30" s="37" customFormat="1" ht="15.75" customHeight="1" x14ac:dyDescent="0.2">
      <c r="A1712" s="26">
        <v>2583</v>
      </c>
      <c r="B1712" s="27" t="s">
        <v>2794</v>
      </c>
      <c r="C1712" s="27" t="s">
        <v>116</v>
      </c>
      <c r="D1712" s="28">
        <v>0</v>
      </c>
      <c r="E1712" s="29">
        <v>4.76</v>
      </c>
      <c r="F1712" s="29">
        <v>3.01</v>
      </c>
      <c r="G1712" s="30" t="s">
        <v>39</v>
      </c>
      <c r="H1712" s="27" t="s">
        <v>71</v>
      </c>
      <c r="I1712" s="27" t="s">
        <v>49</v>
      </c>
      <c r="J1712" s="27" t="s">
        <v>88</v>
      </c>
      <c r="K1712" s="27" t="s">
        <v>51</v>
      </c>
      <c r="L1712" s="31" t="s">
        <v>2797</v>
      </c>
      <c r="M1712" s="32">
        <v>0.36</v>
      </c>
      <c r="N1712" s="27" t="s">
        <v>33</v>
      </c>
      <c r="O1712" s="27" t="s">
        <v>53</v>
      </c>
      <c r="P1712" s="27" t="s">
        <v>289</v>
      </c>
      <c r="Q1712" s="27" t="s">
        <v>2796</v>
      </c>
      <c r="R1712" s="33">
        <v>49423</v>
      </c>
      <c r="S1712" s="34">
        <v>42162</v>
      </c>
      <c r="T1712" s="34">
        <v>42164</v>
      </c>
      <c r="U1712" s="29">
        <v>-2.3450000000000002</v>
      </c>
      <c r="V1712" s="26">
        <v>23</v>
      </c>
      <c r="W1712" s="29">
        <v>110.86</v>
      </c>
      <c r="X1712" s="26">
        <v>89657</v>
      </c>
      <c r="Y1712" s="35">
        <v>510.09999999999997</v>
      </c>
      <c r="Z1712" s="1" t="s">
        <v>3012</v>
      </c>
      <c r="AA1712" s="36">
        <v>0</v>
      </c>
      <c r="AB1712" s="54">
        <v>70.950400000000002</v>
      </c>
      <c r="AC1712" s="54">
        <v>1.7352000000000001</v>
      </c>
      <c r="AD1712" s="36">
        <v>110.19499999999999</v>
      </c>
    </row>
    <row r="1713" spans="1:30" s="37" customFormat="1" ht="15.75" customHeight="1" x14ac:dyDescent="0.2">
      <c r="A1713" s="26">
        <v>1374</v>
      </c>
      <c r="B1713" s="27" t="s">
        <v>2787</v>
      </c>
      <c r="C1713" s="27" t="s">
        <v>26</v>
      </c>
      <c r="D1713" s="28">
        <v>0.06</v>
      </c>
      <c r="E1713" s="29">
        <v>44.01</v>
      </c>
      <c r="F1713" s="29">
        <v>3.5</v>
      </c>
      <c r="G1713" s="30" t="s">
        <v>39</v>
      </c>
      <c r="H1713" s="27" t="s">
        <v>71</v>
      </c>
      <c r="I1713" s="27" t="s">
        <v>49</v>
      </c>
      <c r="J1713" s="27" t="s">
        <v>95</v>
      </c>
      <c r="K1713" s="27" t="s">
        <v>73</v>
      </c>
      <c r="L1713" s="31" t="s">
        <v>2788</v>
      </c>
      <c r="M1713" s="32">
        <v>0.59</v>
      </c>
      <c r="N1713" s="27" t="s">
        <v>33</v>
      </c>
      <c r="O1713" s="27" t="s">
        <v>60</v>
      </c>
      <c r="P1713" s="27" t="s">
        <v>90</v>
      </c>
      <c r="Q1713" s="27" t="s">
        <v>2533</v>
      </c>
      <c r="R1713" s="33">
        <v>95207</v>
      </c>
      <c r="S1713" s="34">
        <v>42162</v>
      </c>
      <c r="T1713" s="34">
        <v>42163</v>
      </c>
      <c r="U1713" s="29">
        <v>-21.231999999999999</v>
      </c>
      <c r="V1713" s="26">
        <v>1</v>
      </c>
      <c r="W1713" s="29">
        <v>46.94</v>
      </c>
      <c r="X1713" s="26">
        <v>88212</v>
      </c>
      <c r="Y1713" s="35">
        <v>4.76</v>
      </c>
      <c r="Z1713" s="1" t="s">
        <v>3013</v>
      </c>
      <c r="AA1713" s="36">
        <v>2.6405999999999996</v>
      </c>
      <c r="AB1713" s="54">
        <v>19.2454</v>
      </c>
      <c r="AC1713" s="54">
        <v>27.694599999999998</v>
      </c>
      <c r="AD1713" s="36">
        <v>62.031399999999998</v>
      </c>
    </row>
    <row r="1714" spans="1:30" s="37" customFormat="1" ht="15.75" customHeight="1" x14ac:dyDescent="0.2">
      <c r="A1714" s="26">
        <v>2794</v>
      </c>
      <c r="B1714" s="27" t="s">
        <v>1769</v>
      </c>
      <c r="C1714" s="27" t="s">
        <v>38</v>
      </c>
      <c r="D1714" s="28">
        <v>7.0000000000000007E-2</v>
      </c>
      <c r="E1714" s="29">
        <v>4.76</v>
      </c>
      <c r="F1714" s="29">
        <v>0.88</v>
      </c>
      <c r="G1714" s="30" t="s">
        <v>39</v>
      </c>
      <c r="H1714" s="27" t="s">
        <v>94</v>
      </c>
      <c r="I1714" s="27" t="s">
        <v>49</v>
      </c>
      <c r="J1714" s="27" t="s">
        <v>88</v>
      </c>
      <c r="K1714" s="27" t="s">
        <v>51</v>
      </c>
      <c r="L1714" s="31" t="s">
        <v>2442</v>
      </c>
      <c r="M1714" s="32">
        <v>0.39</v>
      </c>
      <c r="N1714" s="27" t="s">
        <v>33</v>
      </c>
      <c r="O1714" s="27" t="s">
        <v>53</v>
      </c>
      <c r="P1714" s="27" t="s">
        <v>213</v>
      </c>
      <c r="Q1714" s="27" t="s">
        <v>1770</v>
      </c>
      <c r="R1714" s="33">
        <v>50158</v>
      </c>
      <c r="S1714" s="34">
        <v>42162</v>
      </c>
      <c r="T1714" s="34">
        <v>42162</v>
      </c>
      <c r="U1714" s="29">
        <v>15.8148</v>
      </c>
      <c r="V1714" s="26">
        <v>5</v>
      </c>
      <c r="W1714" s="29">
        <v>22.92</v>
      </c>
      <c r="X1714" s="26">
        <v>87555</v>
      </c>
      <c r="Y1714" s="35">
        <v>535.59</v>
      </c>
      <c r="Z1714" s="1" t="s">
        <v>3012</v>
      </c>
      <c r="AA1714" s="36">
        <v>1.6659999999999999</v>
      </c>
      <c r="AB1714" s="54">
        <v>13.981200000000001</v>
      </c>
      <c r="AC1714" s="54">
        <v>1.7877600000000002</v>
      </c>
      <c r="AD1714" s="36">
        <v>4.5592000000000006</v>
      </c>
    </row>
    <row r="1715" spans="1:30" s="37" customFormat="1" ht="15.75" customHeight="1" x14ac:dyDescent="0.2">
      <c r="A1715" s="26">
        <v>3137</v>
      </c>
      <c r="B1715" s="27" t="s">
        <v>2802</v>
      </c>
      <c r="C1715" s="27" t="s">
        <v>3094</v>
      </c>
      <c r="D1715" s="28">
        <v>0.09</v>
      </c>
      <c r="E1715" s="29">
        <v>304.99</v>
      </c>
      <c r="F1715" s="29">
        <v>19.989999999999998</v>
      </c>
      <c r="G1715" s="30" t="s">
        <v>39</v>
      </c>
      <c r="H1715" s="27" t="s">
        <v>94</v>
      </c>
      <c r="I1715" s="27" t="s">
        <v>49</v>
      </c>
      <c r="J1715" s="27" t="s">
        <v>72</v>
      </c>
      <c r="K1715" s="27" t="s">
        <v>73</v>
      </c>
      <c r="L1715" s="31" t="s">
        <v>2803</v>
      </c>
      <c r="M1715" s="32">
        <v>0.4</v>
      </c>
      <c r="N1715" s="27" t="s">
        <v>33</v>
      </c>
      <c r="O1715" s="27" t="s">
        <v>111</v>
      </c>
      <c r="P1715" s="27" t="s">
        <v>1356</v>
      </c>
      <c r="Q1715" s="27" t="s">
        <v>2804</v>
      </c>
      <c r="R1715" s="33">
        <v>3246</v>
      </c>
      <c r="S1715" s="34">
        <v>42163</v>
      </c>
      <c r="T1715" s="34">
        <v>42164</v>
      </c>
      <c r="U1715" s="29">
        <v>1623.9494999999999</v>
      </c>
      <c r="V1715" s="26">
        <v>8</v>
      </c>
      <c r="W1715" s="29">
        <v>2353.5500000000002</v>
      </c>
      <c r="X1715" s="26">
        <v>86795</v>
      </c>
      <c r="Y1715" s="35">
        <v>122.94</v>
      </c>
      <c r="Z1715" s="1" t="s">
        <v>3014</v>
      </c>
      <c r="AA1715" s="36">
        <v>219.59280000000001</v>
      </c>
      <c r="AB1715" s="54">
        <v>1412.13</v>
      </c>
      <c r="AC1715" s="54">
        <v>117.67750000000001</v>
      </c>
      <c r="AD1715" s="36">
        <v>490.01770000000033</v>
      </c>
    </row>
    <row r="1716" spans="1:30" s="37" customFormat="1" ht="15.75" customHeight="1" x14ac:dyDescent="0.2">
      <c r="A1716" s="26">
        <v>3005</v>
      </c>
      <c r="B1716" s="27" t="s">
        <v>2799</v>
      </c>
      <c r="C1716" s="27" t="s">
        <v>26</v>
      </c>
      <c r="D1716" s="28">
        <v>0.05</v>
      </c>
      <c r="E1716" s="29">
        <v>122.99</v>
      </c>
      <c r="F1716" s="29">
        <v>19.989999999999998</v>
      </c>
      <c r="G1716" s="30" t="s">
        <v>87</v>
      </c>
      <c r="H1716" s="27" t="s">
        <v>94</v>
      </c>
      <c r="I1716" s="27" t="s">
        <v>49</v>
      </c>
      <c r="J1716" s="27" t="s">
        <v>72</v>
      </c>
      <c r="K1716" s="27" t="s">
        <v>73</v>
      </c>
      <c r="L1716" s="31" t="s">
        <v>2424</v>
      </c>
      <c r="M1716" s="32">
        <v>0.37</v>
      </c>
      <c r="N1716" s="27" t="s">
        <v>33</v>
      </c>
      <c r="O1716" s="27" t="s">
        <v>60</v>
      </c>
      <c r="P1716" s="27" t="s">
        <v>490</v>
      </c>
      <c r="Q1716" s="27" t="s">
        <v>1508</v>
      </c>
      <c r="R1716" s="33">
        <v>83814</v>
      </c>
      <c r="S1716" s="34">
        <v>42163</v>
      </c>
      <c r="T1716" s="34">
        <v>42166</v>
      </c>
      <c r="U1716" s="29">
        <v>1039.7541000000001</v>
      </c>
      <c r="V1716" s="26">
        <v>12</v>
      </c>
      <c r="W1716" s="29">
        <v>1506.89</v>
      </c>
      <c r="X1716" s="26">
        <v>91389</v>
      </c>
      <c r="Y1716" s="35">
        <v>100.92</v>
      </c>
      <c r="Z1716" s="1" t="s">
        <v>3013</v>
      </c>
      <c r="AA1716" s="36">
        <v>73.793999999999997</v>
      </c>
      <c r="AB1716" s="54">
        <v>949.34070000000008</v>
      </c>
      <c r="AC1716" s="54">
        <v>46.46244166666667</v>
      </c>
      <c r="AD1716" s="36">
        <v>373.35189999999989</v>
      </c>
    </row>
    <row r="1717" spans="1:30" s="37" customFormat="1" ht="15.75" customHeight="1" x14ac:dyDescent="0.2">
      <c r="A1717" s="26">
        <v>2638</v>
      </c>
      <c r="B1717" s="27" t="s">
        <v>2800</v>
      </c>
      <c r="C1717" s="27" t="s">
        <v>48</v>
      </c>
      <c r="D1717" s="28">
        <v>0.05</v>
      </c>
      <c r="E1717" s="29">
        <v>100.97</v>
      </c>
      <c r="F1717" s="29">
        <v>7.18</v>
      </c>
      <c r="G1717" s="30" t="s">
        <v>87</v>
      </c>
      <c r="H1717" s="27" t="s">
        <v>40</v>
      </c>
      <c r="I1717" s="27" t="s">
        <v>41</v>
      </c>
      <c r="J1717" s="27" t="s">
        <v>42</v>
      </c>
      <c r="K1717" s="27" t="s">
        <v>73</v>
      </c>
      <c r="L1717" s="31" t="s">
        <v>2801</v>
      </c>
      <c r="M1717" s="32">
        <v>0.46</v>
      </c>
      <c r="N1717" s="27" t="s">
        <v>33</v>
      </c>
      <c r="O1717" s="27" t="s">
        <v>60</v>
      </c>
      <c r="P1717" s="27" t="s">
        <v>490</v>
      </c>
      <c r="Q1717" s="27" t="s">
        <v>2579</v>
      </c>
      <c r="R1717" s="33">
        <v>83704</v>
      </c>
      <c r="S1717" s="34">
        <v>42163</v>
      </c>
      <c r="T1717" s="34">
        <v>42163</v>
      </c>
      <c r="U1717" s="29">
        <v>881.46810000000005</v>
      </c>
      <c r="V1717" s="26">
        <v>13</v>
      </c>
      <c r="W1717" s="29">
        <v>1277.49</v>
      </c>
      <c r="X1717" s="26">
        <v>90951</v>
      </c>
      <c r="Y1717" s="35">
        <v>304.90000000000003</v>
      </c>
      <c r="Z1717" s="1" t="s">
        <v>3013</v>
      </c>
      <c r="AA1717" s="36">
        <v>65.630500000000012</v>
      </c>
      <c r="AB1717" s="54">
        <v>689.84460000000001</v>
      </c>
      <c r="AC1717" s="54">
        <v>45.203492307692308</v>
      </c>
      <c r="AD1717" s="36">
        <v>323.21140000000003</v>
      </c>
    </row>
    <row r="1718" spans="1:30" s="37" customFormat="1" ht="15.75" customHeight="1" x14ac:dyDescent="0.2">
      <c r="A1718" s="26">
        <v>218</v>
      </c>
      <c r="B1718" s="27" t="s">
        <v>2809</v>
      </c>
      <c r="C1718" s="27" t="s">
        <v>116</v>
      </c>
      <c r="D1718" s="28">
        <v>0.05</v>
      </c>
      <c r="E1718" s="29">
        <v>119.99</v>
      </c>
      <c r="F1718" s="29">
        <v>56.14</v>
      </c>
      <c r="G1718" s="30" t="s">
        <v>27</v>
      </c>
      <c r="H1718" s="27" t="s">
        <v>40</v>
      </c>
      <c r="I1718" s="27" t="s">
        <v>41</v>
      </c>
      <c r="J1718" s="27" t="s">
        <v>57</v>
      </c>
      <c r="K1718" s="27" t="s">
        <v>31</v>
      </c>
      <c r="L1718" s="31" t="s">
        <v>587</v>
      </c>
      <c r="M1718" s="32">
        <v>0.39</v>
      </c>
      <c r="N1718" s="27" t="s">
        <v>33</v>
      </c>
      <c r="O1718" s="27" t="s">
        <v>60</v>
      </c>
      <c r="P1718" s="27" t="s">
        <v>146</v>
      </c>
      <c r="Q1718" s="27" t="s">
        <v>949</v>
      </c>
      <c r="R1718" s="33">
        <v>84107</v>
      </c>
      <c r="S1718" s="34">
        <v>42164</v>
      </c>
      <c r="T1718" s="34">
        <v>42166</v>
      </c>
      <c r="U1718" s="29">
        <v>-102.5121</v>
      </c>
      <c r="V1718" s="26">
        <v>6</v>
      </c>
      <c r="W1718" s="29">
        <v>730.37</v>
      </c>
      <c r="X1718" s="26">
        <v>88048</v>
      </c>
      <c r="Y1718" s="35">
        <v>8.34</v>
      </c>
      <c r="Z1718" s="1" t="s">
        <v>3013</v>
      </c>
      <c r="AA1718" s="36">
        <v>35.997</v>
      </c>
      <c r="AB1718" s="54">
        <v>445.52569999999997</v>
      </c>
      <c r="AC1718" s="54">
        <v>47.474050000000005</v>
      </c>
      <c r="AD1718" s="36">
        <v>740.74509999999998</v>
      </c>
    </row>
    <row r="1719" spans="1:30" s="37" customFormat="1" ht="15.75" customHeight="1" x14ac:dyDescent="0.2">
      <c r="A1719" s="26">
        <v>349</v>
      </c>
      <c r="B1719" s="27" t="s">
        <v>125</v>
      </c>
      <c r="C1719" s="27" t="s">
        <v>26</v>
      </c>
      <c r="D1719" s="28">
        <v>0</v>
      </c>
      <c r="E1719" s="29">
        <v>8.34</v>
      </c>
      <c r="F1719" s="29">
        <v>2.64</v>
      </c>
      <c r="G1719" s="30" t="s">
        <v>87</v>
      </c>
      <c r="H1719" s="27" t="s">
        <v>71</v>
      </c>
      <c r="I1719" s="27" t="s">
        <v>49</v>
      </c>
      <c r="J1719" s="27" t="s">
        <v>568</v>
      </c>
      <c r="K1719" s="27" t="s">
        <v>43</v>
      </c>
      <c r="L1719" s="31" t="s">
        <v>883</v>
      </c>
      <c r="M1719" s="32">
        <v>0.59</v>
      </c>
      <c r="N1719" s="27" t="s">
        <v>33</v>
      </c>
      <c r="O1719" s="27" t="s">
        <v>34</v>
      </c>
      <c r="P1719" s="27" t="s">
        <v>123</v>
      </c>
      <c r="Q1719" s="27" t="s">
        <v>128</v>
      </c>
      <c r="R1719" s="33">
        <v>33132</v>
      </c>
      <c r="S1719" s="34">
        <v>42164</v>
      </c>
      <c r="T1719" s="34">
        <v>42166</v>
      </c>
      <c r="U1719" s="29">
        <v>5.8624999999999998</v>
      </c>
      <c r="V1719" s="26">
        <v>23</v>
      </c>
      <c r="W1719" s="29">
        <v>212.89</v>
      </c>
      <c r="X1719" s="26">
        <v>17446</v>
      </c>
      <c r="Y1719" s="35">
        <v>8.34</v>
      </c>
      <c r="Z1719" s="1" t="s">
        <v>3011</v>
      </c>
      <c r="AA1719" s="36">
        <v>0</v>
      </c>
      <c r="AB1719" s="54">
        <v>87.284900000000007</v>
      </c>
      <c r="AC1719" s="54">
        <v>5.4610913043478249</v>
      </c>
      <c r="AD1719" s="36">
        <v>204.38749999999999</v>
      </c>
    </row>
    <row r="1720" spans="1:30" s="37" customFormat="1" ht="15.75" customHeight="1" x14ac:dyDescent="0.2">
      <c r="A1720" s="26">
        <v>2584</v>
      </c>
      <c r="B1720" s="27" t="s">
        <v>2805</v>
      </c>
      <c r="C1720" s="27" t="s">
        <v>26</v>
      </c>
      <c r="D1720" s="28">
        <v>0.04</v>
      </c>
      <c r="E1720" s="29">
        <v>6.3</v>
      </c>
      <c r="F1720" s="29">
        <v>0.5</v>
      </c>
      <c r="G1720" s="30" t="s">
        <v>39</v>
      </c>
      <c r="H1720" s="27" t="s">
        <v>71</v>
      </c>
      <c r="I1720" s="27" t="s">
        <v>49</v>
      </c>
      <c r="J1720" s="27" t="s">
        <v>152</v>
      </c>
      <c r="K1720" s="27" t="s">
        <v>73</v>
      </c>
      <c r="L1720" s="31" t="s">
        <v>826</v>
      </c>
      <c r="M1720" s="32">
        <v>0.39</v>
      </c>
      <c r="N1720" s="27" t="s">
        <v>33</v>
      </c>
      <c r="O1720" s="27" t="s">
        <v>53</v>
      </c>
      <c r="P1720" s="27" t="s">
        <v>289</v>
      </c>
      <c r="Q1720" s="27" t="s">
        <v>2806</v>
      </c>
      <c r="R1720" s="33">
        <v>48141</v>
      </c>
      <c r="S1720" s="34">
        <v>42164</v>
      </c>
      <c r="T1720" s="34">
        <v>42166</v>
      </c>
      <c r="U1720" s="29">
        <v>67.606200000000001</v>
      </c>
      <c r="V1720" s="26">
        <v>15</v>
      </c>
      <c r="W1720" s="29">
        <v>97.98</v>
      </c>
      <c r="X1720" s="26">
        <v>89658</v>
      </c>
      <c r="Y1720" s="35">
        <v>6.26</v>
      </c>
      <c r="Z1720" s="1" t="s">
        <v>3012</v>
      </c>
      <c r="AA1720" s="36">
        <v>3.7800000000000002</v>
      </c>
      <c r="AB1720" s="54">
        <v>59.767800000000001</v>
      </c>
      <c r="AC1720" s="54">
        <v>2.5474800000000002</v>
      </c>
      <c r="AD1720" s="36">
        <v>26.093800000000002</v>
      </c>
    </row>
    <row r="1721" spans="1:30" s="37" customFormat="1" ht="15.75" customHeight="1" x14ac:dyDescent="0.2">
      <c r="A1721" s="26">
        <v>3361</v>
      </c>
      <c r="B1721" s="27" t="s">
        <v>810</v>
      </c>
      <c r="C1721" s="27" t="s">
        <v>116</v>
      </c>
      <c r="D1721" s="28">
        <v>0.03</v>
      </c>
      <c r="E1721" s="29">
        <v>4.9800000000000004</v>
      </c>
      <c r="F1721" s="29">
        <v>4.95</v>
      </c>
      <c r="G1721" s="30" t="s">
        <v>39</v>
      </c>
      <c r="H1721" s="27" t="s">
        <v>71</v>
      </c>
      <c r="I1721" s="27" t="s">
        <v>49</v>
      </c>
      <c r="J1721" s="27" t="s">
        <v>72</v>
      </c>
      <c r="K1721" s="27" t="s">
        <v>73</v>
      </c>
      <c r="L1721" s="31" t="s">
        <v>2619</v>
      </c>
      <c r="M1721" s="32">
        <v>0.37</v>
      </c>
      <c r="N1721" s="27" t="s">
        <v>33</v>
      </c>
      <c r="O1721" s="27" t="s">
        <v>53</v>
      </c>
      <c r="P1721" s="27" t="s">
        <v>357</v>
      </c>
      <c r="Q1721" s="27" t="s">
        <v>812</v>
      </c>
      <c r="R1721" s="33">
        <v>53095</v>
      </c>
      <c r="S1721" s="34">
        <v>42164</v>
      </c>
      <c r="T1721" s="34">
        <v>42166</v>
      </c>
      <c r="U1721" s="29">
        <v>-47.995249999999999</v>
      </c>
      <c r="V1721" s="26">
        <v>19</v>
      </c>
      <c r="W1721" s="29">
        <v>95</v>
      </c>
      <c r="X1721" s="26">
        <v>91438</v>
      </c>
      <c r="Y1721" s="35">
        <v>7.54</v>
      </c>
      <c r="Z1721" s="1" t="s">
        <v>3012</v>
      </c>
      <c r="AA1721" s="36">
        <v>2.8386</v>
      </c>
      <c r="AB1721" s="54">
        <v>59.85</v>
      </c>
      <c r="AC1721" s="54">
        <v>1.85</v>
      </c>
      <c r="AD1721" s="36">
        <v>135.20665</v>
      </c>
    </row>
    <row r="1722" spans="1:30" s="37" customFormat="1" ht="15.75" customHeight="1" x14ac:dyDescent="0.2">
      <c r="A1722" s="26">
        <v>351</v>
      </c>
      <c r="B1722" s="27" t="s">
        <v>129</v>
      </c>
      <c r="C1722" s="27" t="s">
        <v>26</v>
      </c>
      <c r="D1722" s="28">
        <v>0</v>
      </c>
      <c r="E1722" s="29">
        <v>8.34</v>
      </c>
      <c r="F1722" s="29">
        <v>2.64</v>
      </c>
      <c r="G1722" s="30" t="s">
        <v>87</v>
      </c>
      <c r="H1722" s="27" t="s">
        <v>71</v>
      </c>
      <c r="I1722" s="27" t="s">
        <v>49</v>
      </c>
      <c r="J1722" s="27" t="s">
        <v>568</v>
      </c>
      <c r="K1722" s="27" t="s">
        <v>43</v>
      </c>
      <c r="L1722" s="31" t="s">
        <v>883</v>
      </c>
      <c r="M1722" s="32">
        <v>0.59</v>
      </c>
      <c r="N1722" s="27" t="s">
        <v>33</v>
      </c>
      <c r="O1722" s="27" t="s">
        <v>111</v>
      </c>
      <c r="P1722" s="27" t="s">
        <v>112</v>
      </c>
      <c r="Q1722" s="27" t="s">
        <v>130</v>
      </c>
      <c r="R1722" s="33">
        <v>13601</v>
      </c>
      <c r="S1722" s="34">
        <v>42164</v>
      </c>
      <c r="T1722" s="34">
        <v>42166</v>
      </c>
      <c r="U1722" s="29">
        <v>10.5</v>
      </c>
      <c r="V1722" s="26">
        <v>6</v>
      </c>
      <c r="W1722" s="29">
        <v>55.54</v>
      </c>
      <c r="X1722" s="26">
        <v>88685</v>
      </c>
      <c r="Y1722" s="35">
        <v>119.94</v>
      </c>
      <c r="Z1722" s="1" t="s">
        <v>3014</v>
      </c>
      <c r="AA1722" s="36">
        <v>0</v>
      </c>
      <c r="AB1722" s="54">
        <v>22.7714</v>
      </c>
      <c r="AC1722" s="54">
        <v>5.4614333333333329</v>
      </c>
      <c r="AD1722" s="36">
        <v>42.4</v>
      </c>
    </row>
    <row r="1723" spans="1:30" s="37" customFormat="1" ht="15.75" customHeight="1" x14ac:dyDescent="0.2">
      <c r="A1723" s="26">
        <v>326</v>
      </c>
      <c r="B1723" s="27" t="s">
        <v>2810</v>
      </c>
      <c r="C1723" s="27" t="s">
        <v>3094</v>
      </c>
      <c r="D1723" s="28">
        <v>0.06</v>
      </c>
      <c r="E1723" s="29">
        <v>7.99</v>
      </c>
      <c r="F1723" s="29">
        <v>5.03</v>
      </c>
      <c r="G1723" s="30" t="s">
        <v>39</v>
      </c>
      <c r="H1723" s="27" t="s">
        <v>40</v>
      </c>
      <c r="I1723" s="27" t="s">
        <v>41</v>
      </c>
      <c r="J1723" s="27" t="s">
        <v>135</v>
      </c>
      <c r="K1723" s="27" t="s">
        <v>144</v>
      </c>
      <c r="L1723" s="31" t="s">
        <v>465</v>
      </c>
      <c r="M1723" s="32">
        <v>0.6</v>
      </c>
      <c r="N1723" s="27" t="s">
        <v>33</v>
      </c>
      <c r="O1723" s="27" t="s">
        <v>53</v>
      </c>
      <c r="P1723" s="27" t="s">
        <v>103</v>
      </c>
      <c r="Q1723" s="27" t="s">
        <v>2195</v>
      </c>
      <c r="R1723" s="33">
        <v>60510</v>
      </c>
      <c r="S1723" s="34">
        <v>42164</v>
      </c>
      <c r="T1723" s="34">
        <v>42165</v>
      </c>
      <c r="U1723" s="29">
        <v>-29.172000000000001</v>
      </c>
      <c r="V1723" s="26">
        <v>4</v>
      </c>
      <c r="W1723" s="29">
        <v>28.46</v>
      </c>
      <c r="X1723" s="26">
        <v>90973</v>
      </c>
      <c r="Y1723" s="35">
        <v>4.95</v>
      </c>
      <c r="Z1723" s="1" t="s">
        <v>3012</v>
      </c>
      <c r="AA1723" s="36">
        <v>1.9176</v>
      </c>
      <c r="AB1723" s="54">
        <v>11.384</v>
      </c>
      <c r="AC1723" s="54">
        <v>4.2690000000000001</v>
      </c>
      <c r="AD1723" s="36">
        <v>50.684399999999997</v>
      </c>
    </row>
    <row r="1724" spans="1:30" s="37" customFormat="1" ht="15.75" customHeight="1" x14ac:dyDescent="0.2">
      <c r="A1724" s="26">
        <v>1151</v>
      </c>
      <c r="B1724" s="27" t="s">
        <v>2807</v>
      </c>
      <c r="C1724" s="27" t="s">
        <v>48</v>
      </c>
      <c r="D1724" s="28">
        <v>0.05</v>
      </c>
      <c r="E1724" s="29">
        <v>7.59</v>
      </c>
      <c r="F1724" s="29">
        <v>4</v>
      </c>
      <c r="G1724" s="30" t="s">
        <v>39</v>
      </c>
      <c r="H1724" s="27" t="s">
        <v>94</v>
      </c>
      <c r="I1724" s="27" t="s">
        <v>29</v>
      </c>
      <c r="J1724" s="27" t="s">
        <v>126</v>
      </c>
      <c r="K1724" s="27" t="s">
        <v>51</v>
      </c>
      <c r="L1724" s="31" t="s">
        <v>1687</v>
      </c>
      <c r="M1724" s="32">
        <v>0.42</v>
      </c>
      <c r="N1724" s="27" t="s">
        <v>33</v>
      </c>
      <c r="O1724" s="27" t="s">
        <v>111</v>
      </c>
      <c r="P1724" s="27" t="s">
        <v>403</v>
      </c>
      <c r="Q1724" s="27" t="s">
        <v>2808</v>
      </c>
      <c r="R1724" s="33">
        <v>1075</v>
      </c>
      <c r="S1724" s="34">
        <v>42164</v>
      </c>
      <c r="T1724" s="34">
        <v>42164</v>
      </c>
      <c r="U1724" s="29">
        <v>6.0926999999999998</v>
      </c>
      <c r="V1724" s="26">
        <v>1</v>
      </c>
      <c r="W1724" s="29">
        <v>8.83</v>
      </c>
      <c r="X1724" s="26">
        <v>91344</v>
      </c>
      <c r="Y1724" s="35">
        <v>7.9300000000000006</v>
      </c>
      <c r="Z1724" s="1" t="s">
        <v>3014</v>
      </c>
      <c r="AA1724" s="36">
        <v>0.3795</v>
      </c>
      <c r="AB1724" s="54">
        <v>5.1214000000000004</v>
      </c>
      <c r="AC1724" s="54">
        <v>3.7085999999999997</v>
      </c>
      <c r="AD1724" s="36">
        <v>-1.6422000000000008</v>
      </c>
    </row>
    <row r="1725" spans="1:30" s="37" customFormat="1" ht="15.75" customHeight="1" x14ac:dyDescent="0.2">
      <c r="A1725" s="26">
        <v>254</v>
      </c>
      <c r="B1725" s="27" t="s">
        <v>2814</v>
      </c>
      <c r="C1725" s="27" t="s">
        <v>116</v>
      </c>
      <c r="D1725" s="28">
        <v>0.1</v>
      </c>
      <c r="E1725" s="29">
        <v>280.98</v>
      </c>
      <c r="F1725" s="29">
        <v>35.67</v>
      </c>
      <c r="G1725" s="30" t="s">
        <v>27</v>
      </c>
      <c r="H1725" s="27" t="s">
        <v>71</v>
      </c>
      <c r="I1725" s="27" t="s">
        <v>29</v>
      </c>
      <c r="J1725" s="27" t="s">
        <v>30</v>
      </c>
      <c r="K1725" s="27" t="s">
        <v>31</v>
      </c>
      <c r="L1725" s="31" t="s">
        <v>2815</v>
      </c>
      <c r="M1725" s="32">
        <v>0.66</v>
      </c>
      <c r="N1725" s="27" t="s">
        <v>33</v>
      </c>
      <c r="O1725" s="27" t="s">
        <v>60</v>
      </c>
      <c r="P1725" s="27" t="s">
        <v>61</v>
      </c>
      <c r="Q1725" s="27" t="s">
        <v>2816</v>
      </c>
      <c r="R1725" s="33">
        <v>80126</v>
      </c>
      <c r="S1725" s="34">
        <v>42165</v>
      </c>
      <c r="T1725" s="34">
        <v>42166</v>
      </c>
      <c r="U1725" s="29">
        <v>-53.744999999999997</v>
      </c>
      <c r="V1725" s="26">
        <v>5</v>
      </c>
      <c r="W1725" s="29">
        <v>1332.82</v>
      </c>
      <c r="X1725" s="26">
        <v>86268</v>
      </c>
      <c r="Y1725" s="35">
        <v>2.21</v>
      </c>
      <c r="Z1725" s="1" t="s">
        <v>3013</v>
      </c>
      <c r="AA1725" s="36">
        <v>140.49</v>
      </c>
      <c r="AB1725" s="54">
        <v>453.15879999999993</v>
      </c>
      <c r="AC1725" s="54">
        <v>175.93223999999998</v>
      </c>
      <c r="AD1725" s="36">
        <v>1210.405</v>
      </c>
    </row>
    <row r="1726" spans="1:30" s="37" customFormat="1" ht="15.75" customHeight="1" x14ac:dyDescent="0.2">
      <c r="A1726" s="26">
        <v>2431</v>
      </c>
      <c r="B1726" s="27" t="s">
        <v>2570</v>
      </c>
      <c r="C1726" s="27" t="s">
        <v>3094</v>
      </c>
      <c r="D1726" s="28">
        <v>0.05</v>
      </c>
      <c r="E1726" s="29">
        <v>8.85</v>
      </c>
      <c r="F1726" s="29">
        <v>5.6</v>
      </c>
      <c r="G1726" s="30" t="s">
        <v>39</v>
      </c>
      <c r="H1726" s="27" t="s">
        <v>40</v>
      </c>
      <c r="I1726" s="27" t="s">
        <v>49</v>
      </c>
      <c r="J1726" s="27" t="s">
        <v>72</v>
      </c>
      <c r="K1726" s="27" t="s">
        <v>73</v>
      </c>
      <c r="L1726" s="31" t="s">
        <v>2818</v>
      </c>
      <c r="M1726" s="32">
        <v>0.36</v>
      </c>
      <c r="N1726" s="27" t="s">
        <v>33</v>
      </c>
      <c r="O1726" s="27" t="s">
        <v>60</v>
      </c>
      <c r="P1726" s="27" t="s">
        <v>90</v>
      </c>
      <c r="Q1726" s="27" t="s">
        <v>100</v>
      </c>
      <c r="R1726" s="33">
        <v>90004</v>
      </c>
      <c r="S1726" s="34">
        <v>42165</v>
      </c>
      <c r="T1726" s="34">
        <v>42166</v>
      </c>
      <c r="U1726" s="29">
        <v>-9.1769999999999996</v>
      </c>
      <c r="V1726" s="26">
        <v>21</v>
      </c>
      <c r="W1726" s="29">
        <v>199.08</v>
      </c>
      <c r="X1726" s="26">
        <v>24869</v>
      </c>
      <c r="Y1726" s="35">
        <v>7.28</v>
      </c>
      <c r="Z1726" s="1" t="s">
        <v>3013</v>
      </c>
      <c r="AA1726" s="36">
        <v>9.2925000000000004</v>
      </c>
      <c r="AB1726" s="54">
        <v>127.41120000000001</v>
      </c>
      <c r="AC1726" s="54">
        <v>3.4127999999999998</v>
      </c>
      <c r="AD1726" s="36">
        <v>193.36450000000002</v>
      </c>
    </row>
    <row r="1727" spans="1:30" s="37" customFormat="1" ht="15.75" customHeight="1" x14ac:dyDescent="0.2">
      <c r="A1727" s="26">
        <v>597</v>
      </c>
      <c r="B1727" s="27" t="s">
        <v>2817</v>
      </c>
      <c r="C1727" s="27" t="s">
        <v>3094</v>
      </c>
      <c r="D1727" s="28">
        <v>0.1</v>
      </c>
      <c r="E1727" s="29">
        <v>6.48</v>
      </c>
      <c r="F1727" s="29">
        <v>5.9</v>
      </c>
      <c r="G1727" s="30" t="s">
        <v>39</v>
      </c>
      <c r="H1727" s="27" t="s">
        <v>3095</v>
      </c>
      <c r="I1727" s="27" t="s">
        <v>49</v>
      </c>
      <c r="J1727" s="27" t="s">
        <v>88</v>
      </c>
      <c r="K1727" s="27" t="s">
        <v>73</v>
      </c>
      <c r="L1727" s="31" t="s">
        <v>1751</v>
      </c>
      <c r="M1727" s="32">
        <v>0.37</v>
      </c>
      <c r="N1727" s="27" t="s">
        <v>33</v>
      </c>
      <c r="O1727" s="27" t="s">
        <v>53</v>
      </c>
      <c r="P1727" s="27" t="s">
        <v>54</v>
      </c>
      <c r="Q1727" s="27" t="s">
        <v>1483</v>
      </c>
      <c r="R1727" s="33">
        <v>47201</v>
      </c>
      <c r="S1727" s="34">
        <v>42165</v>
      </c>
      <c r="T1727" s="34">
        <v>42165</v>
      </c>
      <c r="U1727" s="29">
        <v>-51.634999999999998</v>
      </c>
      <c r="V1727" s="26">
        <v>19</v>
      </c>
      <c r="W1727" s="29">
        <v>116.8</v>
      </c>
      <c r="X1727" s="26">
        <v>86310</v>
      </c>
      <c r="Y1727" s="35">
        <v>280.88</v>
      </c>
      <c r="Z1727" s="1" t="s">
        <v>3012</v>
      </c>
      <c r="AA1727" s="36">
        <v>12.312000000000003</v>
      </c>
      <c r="AB1727" s="54">
        <v>73.584000000000003</v>
      </c>
      <c r="AC1727" s="54">
        <v>2.2745263157894735</v>
      </c>
      <c r="AD1727" s="36">
        <v>150.22299999999998</v>
      </c>
    </row>
    <row r="1728" spans="1:30" s="37" customFormat="1" ht="15.75" customHeight="1" x14ac:dyDescent="0.2">
      <c r="A1728" s="26">
        <v>3079</v>
      </c>
      <c r="B1728" s="27" t="s">
        <v>319</v>
      </c>
      <c r="C1728" s="27" t="s">
        <v>26</v>
      </c>
      <c r="D1728" s="28">
        <v>0</v>
      </c>
      <c r="E1728" s="29">
        <v>2.21</v>
      </c>
      <c r="F1728" s="29">
        <v>1</v>
      </c>
      <c r="G1728" s="30" t="s">
        <v>87</v>
      </c>
      <c r="H1728" s="27" t="s">
        <v>3095</v>
      </c>
      <c r="I1728" s="27" t="s">
        <v>49</v>
      </c>
      <c r="J1728" s="27" t="s">
        <v>50</v>
      </c>
      <c r="K1728" s="27" t="s">
        <v>51</v>
      </c>
      <c r="L1728" s="31" t="s">
        <v>2811</v>
      </c>
      <c r="M1728" s="32">
        <v>0.38</v>
      </c>
      <c r="N1728" s="27" t="s">
        <v>33</v>
      </c>
      <c r="O1728" s="27" t="s">
        <v>111</v>
      </c>
      <c r="P1728" s="27" t="s">
        <v>320</v>
      </c>
      <c r="Q1728" s="27" t="s">
        <v>321</v>
      </c>
      <c r="R1728" s="33">
        <v>19112</v>
      </c>
      <c r="S1728" s="34">
        <v>42165</v>
      </c>
      <c r="T1728" s="34">
        <v>42166</v>
      </c>
      <c r="U1728" s="29">
        <v>10.01</v>
      </c>
      <c r="V1728" s="26">
        <v>33</v>
      </c>
      <c r="W1728" s="29">
        <v>87.18</v>
      </c>
      <c r="X1728" s="26">
        <v>48483</v>
      </c>
      <c r="Y1728" s="35">
        <v>6.3800000000000008</v>
      </c>
      <c r="Z1728" s="1" t="s">
        <v>3014</v>
      </c>
      <c r="AA1728" s="36">
        <v>0</v>
      </c>
      <c r="AB1728" s="54">
        <v>54.051600000000001</v>
      </c>
      <c r="AC1728" s="54">
        <v>1.0038909090909092</v>
      </c>
      <c r="AD1728" s="36">
        <v>76.17</v>
      </c>
    </row>
    <row r="1729" spans="1:30" s="37" customFormat="1" ht="15.75" customHeight="1" x14ac:dyDescent="0.2">
      <c r="A1729" s="26">
        <v>2433</v>
      </c>
      <c r="B1729" s="27" t="s">
        <v>2819</v>
      </c>
      <c r="C1729" s="27" t="s">
        <v>3094</v>
      </c>
      <c r="D1729" s="28">
        <v>0.05</v>
      </c>
      <c r="E1729" s="29">
        <v>8.85</v>
      </c>
      <c r="F1729" s="29">
        <v>5.6</v>
      </c>
      <c r="G1729" s="30" t="s">
        <v>39</v>
      </c>
      <c r="H1729" s="27" t="s">
        <v>40</v>
      </c>
      <c r="I1729" s="27" t="s">
        <v>49</v>
      </c>
      <c r="J1729" s="27" t="s">
        <v>72</v>
      </c>
      <c r="K1729" s="27" t="s">
        <v>73</v>
      </c>
      <c r="L1729" s="31" t="s">
        <v>2818</v>
      </c>
      <c r="M1729" s="32">
        <v>0.36</v>
      </c>
      <c r="N1729" s="27" t="s">
        <v>33</v>
      </c>
      <c r="O1729" s="27" t="s">
        <v>53</v>
      </c>
      <c r="P1729" s="27" t="s">
        <v>207</v>
      </c>
      <c r="Q1729" s="27" t="s">
        <v>611</v>
      </c>
      <c r="R1729" s="33">
        <v>73160</v>
      </c>
      <c r="S1729" s="34">
        <v>42165</v>
      </c>
      <c r="T1729" s="34">
        <v>42166</v>
      </c>
      <c r="U1729" s="29">
        <v>-7.3415999999999997</v>
      </c>
      <c r="V1729" s="26">
        <v>5</v>
      </c>
      <c r="W1729" s="29">
        <v>47.4</v>
      </c>
      <c r="X1729" s="26">
        <v>89095</v>
      </c>
      <c r="Y1729" s="35">
        <v>8.7999999999999989</v>
      </c>
      <c r="Z1729" s="1" t="s">
        <v>3012</v>
      </c>
      <c r="AA1729" s="36">
        <v>2.2124999999999999</v>
      </c>
      <c r="AB1729" s="54">
        <v>30.335999999999999</v>
      </c>
      <c r="AC1729" s="54">
        <v>3.4127999999999998</v>
      </c>
      <c r="AD1729" s="36">
        <v>46.929099999999998</v>
      </c>
    </row>
    <row r="1730" spans="1:30" s="37" customFormat="1" ht="15.75" customHeight="1" x14ac:dyDescent="0.2">
      <c r="A1730" s="26">
        <v>3243</v>
      </c>
      <c r="B1730" s="27" t="s">
        <v>2812</v>
      </c>
      <c r="C1730" s="27" t="s">
        <v>38</v>
      </c>
      <c r="D1730" s="28">
        <v>0</v>
      </c>
      <c r="E1730" s="29">
        <v>7.28</v>
      </c>
      <c r="F1730" s="29">
        <v>3.52</v>
      </c>
      <c r="G1730" s="30" t="s">
        <v>39</v>
      </c>
      <c r="H1730" s="27" t="s">
        <v>3095</v>
      </c>
      <c r="I1730" s="27" t="s">
        <v>41</v>
      </c>
      <c r="J1730" s="27" t="s">
        <v>42</v>
      </c>
      <c r="K1730" s="27" t="s">
        <v>43</v>
      </c>
      <c r="L1730" s="31" t="s">
        <v>2813</v>
      </c>
      <c r="M1730" s="32">
        <v>0.68</v>
      </c>
      <c r="N1730" s="27" t="s">
        <v>33</v>
      </c>
      <c r="O1730" s="27" t="s">
        <v>111</v>
      </c>
      <c r="P1730" s="27" t="s">
        <v>248</v>
      </c>
      <c r="Q1730" s="27" t="s">
        <v>249</v>
      </c>
      <c r="R1730" s="33">
        <v>6010</v>
      </c>
      <c r="S1730" s="34">
        <v>42165</v>
      </c>
      <c r="T1730" s="34">
        <v>42165</v>
      </c>
      <c r="U1730" s="29">
        <v>-25.103999999999999</v>
      </c>
      <c r="V1730" s="26">
        <v>3</v>
      </c>
      <c r="W1730" s="29">
        <v>24.44</v>
      </c>
      <c r="X1730" s="26">
        <v>88329</v>
      </c>
      <c r="Y1730" s="35">
        <v>8.7999999999999989</v>
      </c>
      <c r="Z1730" s="1" t="s">
        <v>3014</v>
      </c>
      <c r="AA1730" s="36">
        <v>0</v>
      </c>
      <c r="AB1730" s="54">
        <v>7.8207999999999993</v>
      </c>
      <c r="AC1730" s="54">
        <v>5.5397333333333334</v>
      </c>
      <c r="AD1730" s="36">
        <v>46.024000000000001</v>
      </c>
    </row>
    <row r="1731" spans="1:30" s="37" customFormat="1" ht="15.75" customHeight="1" x14ac:dyDescent="0.2">
      <c r="A1731" s="26">
        <v>3079</v>
      </c>
      <c r="B1731" s="27" t="s">
        <v>319</v>
      </c>
      <c r="C1731" s="27" t="s">
        <v>3094</v>
      </c>
      <c r="D1731" s="28">
        <v>0.01</v>
      </c>
      <c r="E1731" s="29">
        <v>193.17</v>
      </c>
      <c r="F1731" s="29">
        <v>19.989999999999998</v>
      </c>
      <c r="G1731" s="30" t="s">
        <v>87</v>
      </c>
      <c r="H1731" s="27" t="s">
        <v>3095</v>
      </c>
      <c r="I1731" s="27" t="s">
        <v>49</v>
      </c>
      <c r="J1731" s="27" t="s">
        <v>78</v>
      </c>
      <c r="K1731" s="27" t="s">
        <v>73</v>
      </c>
      <c r="L1731" s="31" t="s">
        <v>1582</v>
      </c>
      <c r="M1731" s="32">
        <v>0.71</v>
      </c>
      <c r="N1731" s="27" t="s">
        <v>33</v>
      </c>
      <c r="O1731" s="27" t="s">
        <v>111</v>
      </c>
      <c r="P1731" s="27" t="s">
        <v>320</v>
      </c>
      <c r="Q1731" s="27" t="s">
        <v>321</v>
      </c>
      <c r="R1731" s="33">
        <v>19112</v>
      </c>
      <c r="S1731" s="34">
        <v>42166</v>
      </c>
      <c r="T1731" s="34">
        <v>42166</v>
      </c>
      <c r="U1731" s="29">
        <v>1141.07</v>
      </c>
      <c r="V1731" s="26">
        <v>63</v>
      </c>
      <c r="W1731" s="29">
        <v>12190.98</v>
      </c>
      <c r="X1731" s="26">
        <v>53476</v>
      </c>
      <c r="Y1731" s="35">
        <v>5.23</v>
      </c>
      <c r="Z1731" s="1" t="s">
        <v>3014</v>
      </c>
      <c r="AA1731" s="36">
        <v>121.69709999999999</v>
      </c>
      <c r="AB1731" s="54">
        <v>3535.3842000000004</v>
      </c>
      <c r="AC1731" s="54">
        <v>137.39040952380952</v>
      </c>
      <c r="AD1731" s="36">
        <v>10908.222899999999</v>
      </c>
    </row>
    <row r="1732" spans="1:30" s="37" customFormat="1" ht="15.75" customHeight="1" x14ac:dyDescent="0.2">
      <c r="A1732" s="26">
        <v>2543</v>
      </c>
      <c r="B1732" s="27" t="s">
        <v>2827</v>
      </c>
      <c r="C1732" s="27" t="s">
        <v>116</v>
      </c>
      <c r="D1732" s="28">
        <v>0.02</v>
      </c>
      <c r="E1732" s="29">
        <v>195.99</v>
      </c>
      <c r="F1732" s="29">
        <v>4.2</v>
      </c>
      <c r="G1732" s="30" t="s">
        <v>39</v>
      </c>
      <c r="H1732" s="27" t="s">
        <v>3095</v>
      </c>
      <c r="I1732" s="27" t="s">
        <v>41</v>
      </c>
      <c r="J1732" s="27" t="s">
        <v>135</v>
      </c>
      <c r="K1732" s="27" t="s">
        <v>73</v>
      </c>
      <c r="L1732" s="31" t="s">
        <v>2828</v>
      </c>
      <c r="M1732" s="32">
        <v>0.56000000000000005</v>
      </c>
      <c r="N1732" s="27" t="s">
        <v>33</v>
      </c>
      <c r="O1732" s="27" t="s">
        <v>34</v>
      </c>
      <c r="P1732" s="27" t="s">
        <v>242</v>
      </c>
      <c r="Q1732" s="27" t="s">
        <v>2432</v>
      </c>
      <c r="R1732" s="33">
        <v>23223</v>
      </c>
      <c r="S1732" s="34">
        <v>42166</v>
      </c>
      <c r="T1732" s="34">
        <v>42167</v>
      </c>
      <c r="U1732" s="29">
        <v>40.283999999999999</v>
      </c>
      <c r="V1732" s="26">
        <v>19</v>
      </c>
      <c r="W1732" s="29">
        <v>3194.99</v>
      </c>
      <c r="X1732" s="26">
        <v>87917</v>
      </c>
      <c r="Y1732" s="35">
        <v>35.980000000000004</v>
      </c>
      <c r="Z1732" s="1" t="s">
        <v>3011</v>
      </c>
      <c r="AA1732" s="36">
        <v>74.476200000000006</v>
      </c>
      <c r="AB1732" s="54">
        <v>1405.7955999999997</v>
      </c>
      <c r="AC1732" s="54">
        <v>94.168126315789465</v>
      </c>
      <c r="AD1732" s="36">
        <v>3076.0297999999998</v>
      </c>
    </row>
    <row r="1733" spans="1:30" s="37" customFormat="1" ht="15.75" customHeight="1" x14ac:dyDescent="0.2">
      <c r="A1733" s="26">
        <v>3079</v>
      </c>
      <c r="B1733" s="27" t="s">
        <v>319</v>
      </c>
      <c r="C1733" s="27" t="s">
        <v>3094</v>
      </c>
      <c r="D1733" s="28">
        <v>0.04</v>
      </c>
      <c r="E1733" s="29">
        <v>35.44</v>
      </c>
      <c r="F1733" s="29">
        <v>5.09</v>
      </c>
      <c r="G1733" s="30" t="s">
        <v>39</v>
      </c>
      <c r="H1733" s="27" t="s">
        <v>3095</v>
      </c>
      <c r="I1733" s="27" t="s">
        <v>49</v>
      </c>
      <c r="J1733" s="27" t="s">
        <v>88</v>
      </c>
      <c r="K1733" s="27" t="s">
        <v>73</v>
      </c>
      <c r="L1733" s="31" t="s">
        <v>2078</v>
      </c>
      <c r="M1733" s="32">
        <v>0.38</v>
      </c>
      <c r="N1733" s="27" t="s">
        <v>33</v>
      </c>
      <c r="O1733" s="27" t="s">
        <v>111</v>
      </c>
      <c r="P1733" s="27" t="s">
        <v>320</v>
      </c>
      <c r="Q1733" s="27" t="s">
        <v>321</v>
      </c>
      <c r="R1733" s="33">
        <v>19112</v>
      </c>
      <c r="S1733" s="34">
        <v>42166</v>
      </c>
      <c r="T1733" s="34">
        <v>42166</v>
      </c>
      <c r="U1733" s="29">
        <v>150.72</v>
      </c>
      <c r="V1733" s="26">
        <v>21</v>
      </c>
      <c r="W1733" s="29">
        <v>722.1</v>
      </c>
      <c r="X1733" s="26">
        <v>53476</v>
      </c>
      <c r="Y1733" s="35">
        <v>5.2600000000000007</v>
      </c>
      <c r="Z1733" s="1" t="s">
        <v>3014</v>
      </c>
      <c r="AA1733" s="36">
        <v>29.769600000000001</v>
      </c>
      <c r="AB1733" s="54">
        <v>447.702</v>
      </c>
      <c r="AC1733" s="54">
        <v>13.066571428571429</v>
      </c>
      <c r="AD1733" s="36">
        <v>536.5204</v>
      </c>
    </row>
    <row r="1734" spans="1:30" s="37" customFormat="1" ht="15.75" customHeight="1" x14ac:dyDescent="0.2">
      <c r="A1734" s="26">
        <v>1466</v>
      </c>
      <c r="B1734" s="27" t="s">
        <v>2825</v>
      </c>
      <c r="C1734" s="27" t="s">
        <v>38</v>
      </c>
      <c r="D1734" s="28">
        <v>0</v>
      </c>
      <c r="E1734" s="29">
        <v>65.989999999999995</v>
      </c>
      <c r="F1734" s="29">
        <v>8.99</v>
      </c>
      <c r="G1734" s="30" t="s">
        <v>39</v>
      </c>
      <c r="H1734" s="27" t="s">
        <v>3095</v>
      </c>
      <c r="I1734" s="27" t="s">
        <v>41</v>
      </c>
      <c r="J1734" s="27" t="s">
        <v>135</v>
      </c>
      <c r="K1734" s="27" t="s">
        <v>73</v>
      </c>
      <c r="L1734" s="31" t="s">
        <v>2594</v>
      </c>
      <c r="M1734" s="32">
        <v>0.56000000000000005</v>
      </c>
      <c r="N1734" s="27" t="s">
        <v>33</v>
      </c>
      <c r="O1734" s="27" t="s">
        <v>53</v>
      </c>
      <c r="P1734" s="27" t="s">
        <v>133</v>
      </c>
      <c r="Q1734" s="27" t="s">
        <v>1483</v>
      </c>
      <c r="R1734" s="33">
        <v>68601</v>
      </c>
      <c r="S1734" s="34">
        <v>42166</v>
      </c>
      <c r="T1734" s="34">
        <v>42168</v>
      </c>
      <c r="U1734" s="29">
        <v>253.3032</v>
      </c>
      <c r="V1734" s="26">
        <v>10</v>
      </c>
      <c r="W1734" s="29">
        <v>575.07000000000005</v>
      </c>
      <c r="X1734" s="26">
        <v>91115</v>
      </c>
      <c r="Y1734" s="35">
        <v>5.2600000000000007</v>
      </c>
      <c r="Z1734" s="1" t="s">
        <v>3012</v>
      </c>
      <c r="AA1734" s="36">
        <v>0</v>
      </c>
      <c r="AB1734" s="54">
        <v>253.0308</v>
      </c>
      <c r="AC1734" s="54">
        <v>32.203920000000004</v>
      </c>
      <c r="AD1734" s="36">
        <v>312.77680000000004</v>
      </c>
    </row>
    <row r="1735" spans="1:30" s="37" customFormat="1" ht="15.75" customHeight="1" x14ac:dyDescent="0.2">
      <c r="A1735" s="26">
        <v>3251</v>
      </c>
      <c r="B1735" s="27" t="s">
        <v>2824</v>
      </c>
      <c r="C1735" s="27" t="s">
        <v>26</v>
      </c>
      <c r="D1735" s="28">
        <v>0.02</v>
      </c>
      <c r="E1735" s="29">
        <v>5.28</v>
      </c>
      <c r="F1735" s="29">
        <v>6.26</v>
      </c>
      <c r="G1735" s="30" t="s">
        <v>39</v>
      </c>
      <c r="H1735" s="27" t="s">
        <v>94</v>
      </c>
      <c r="I1735" s="27" t="s">
        <v>49</v>
      </c>
      <c r="J1735" s="27" t="s">
        <v>88</v>
      </c>
      <c r="K1735" s="27" t="s">
        <v>73</v>
      </c>
      <c r="L1735" s="31" t="s">
        <v>2458</v>
      </c>
      <c r="M1735" s="32">
        <v>0.4</v>
      </c>
      <c r="N1735" s="27" t="s">
        <v>33</v>
      </c>
      <c r="O1735" s="27" t="s">
        <v>111</v>
      </c>
      <c r="P1735" s="27" t="s">
        <v>112</v>
      </c>
      <c r="Q1735" s="27" t="s">
        <v>113</v>
      </c>
      <c r="R1735" s="33">
        <v>10112</v>
      </c>
      <c r="S1735" s="34">
        <v>42166</v>
      </c>
      <c r="T1735" s="34">
        <v>42167</v>
      </c>
      <c r="U1735" s="29">
        <v>-131.16</v>
      </c>
      <c r="V1735" s="26">
        <v>76</v>
      </c>
      <c r="W1735" s="29">
        <v>412.72</v>
      </c>
      <c r="X1735" s="26">
        <v>39076</v>
      </c>
      <c r="Y1735" s="35">
        <v>65.989999999999995</v>
      </c>
      <c r="Z1735" s="1" t="s">
        <v>3014</v>
      </c>
      <c r="AA1735" s="36">
        <v>8.0256000000000007</v>
      </c>
      <c r="AB1735" s="54">
        <v>247.63200000000001</v>
      </c>
      <c r="AC1735" s="54">
        <v>2.1722105263157898</v>
      </c>
      <c r="AD1735" s="36">
        <v>529.59440000000006</v>
      </c>
    </row>
    <row r="1736" spans="1:30" s="37" customFormat="1" ht="15.75" customHeight="1" x14ac:dyDescent="0.2">
      <c r="A1736" s="26">
        <v>2779</v>
      </c>
      <c r="B1736" s="27" t="s">
        <v>2822</v>
      </c>
      <c r="C1736" s="27" t="s">
        <v>26</v>
      </c>
      <c r="D1736" s="28">
        <v>0.01</v>
      </c>
      <c r="E1736" s="29">
        <v>35.99</v>
      </c>
      <c r="F1736" s="29">
        <v>5.99</v>
      </c>
      <c r="G1736" s="30" t="s">
        <v>39</v>
      </c>
      <c r="H1736" s="27" t="s">
        <v>94</v>
      </c>
      <c r="I1736" s="27" t="s">
        <v>41</v>
      </c>
      <c r="J1736" s="27" t="s">
        <v>135</v>
      </c>
      <c r="K1736" s="27" t="s">
        <v>51</v>
      </c>
      <c r="L1736" s="31" t="s">
        <v>1372</v>
      </c>
      <c r="M1736" s="32">
        <v>0.38</v>
      </c>
      <c r="N1736" s="27" t="s">
        <v>33</v>
      </c>
      <c r="O1736" s="27" t="s">
        <v>34</v>
      </c>
      <c r="P1736" s="27" t="s">
        <v>97</v>
      </c>
      <c r="Q1736" s="27" t="s">
        <v>2823</v>
      </c>
      <c r="R1736" s="33">
        <v>27893</v>
      </c>
      <c r="S1736" s="34">
        <v>42166</v>
      </c>
      <c r="T1736" s="34">
        <v>42167</v>
      </c>
      <c r="U1736" s="29">
        <v>-60.704000000000001</v>
      </c>
      <c r="V1736" s="26">
        <v>11</v>
      </c>
      <c r="W1736" s="29">
        <v>345.07</v>
      </c>
      <c r="X1736" s="26">
        <v>87161</v>
      </c>
      <c r="Y1736" s="35">
        <v>39.97</v>
      </c>
      <c r="Z1736" s="1" t="s">
        <v>3011</v>
      </c>
      <c r="AA1736" s="36">
        <v>3.9589000000000008</v>
      </c>
      <c r="AB1736" s="54">
        <v>213.9434</v>
      </c>
      <c r="AC1736" s="54">
        <v>11.9206</v>
      </c>
      <c r="AD1736" s="36">
        <v>395.82510000000002</v>
      </c>
    </row>
    <row r="1737" spans="1:30" s="37" customFormat="1" ht="15.75" customHeight="1" x14ac:dyDescent="0.2">
      <c r="A1737" s="26">
        <v>2840</v>
      </c>
      <c r="B1737" s="27" t="s">
        <v>1737</v>
      </c>
      <c r="C1737" s="27" t="s">
        <v>116</v>
      </c>
      <c r="D1737" s="28">
        <v>0</v>
      </c>
      <c r="E1737" s="29">
        <v>14.98</v>
      </c>
      <c r="F1737" s="29">
        <v>8.99</v>
      </c>
      <c r="G1737" s="30" t="s">
        <v>39</v>
      </c>
      <c r="H1737" s="27" t="s">
        <v>94</v>
      </c>
      <c r="I1737" s="27" t="s">
        <v>29</v>
      </c>
      <c r="J1737" s="27" t="s">
        <v>126</v>
      </c>
      <c r="K1737" s="27" t="s">
        <v>43</v>
      </c>
      <c r="L1737" s="31" t="s">
        <v>1486</v>
      </c>
      <c r="M1737" s="32">
        <v>0.39</v>
      </c>
      <c r="N1737" s="27" t="s">
        <v>33</v>
      </c>
      <c r="O1737" s="27" t="s">
        <v>34</v>
      </c>
      <c r="P1737" s="27" t="s">
        <v>123</v>
      </c>
      <c r="Q1737" s="27" t="s">
        <v>1739</v>
      </c>
      <c r="R1737" s="33">
        <v>33161</v>
      </c>
      <c r="S1737" s="34">
        <v>42166</v>
      </c>
      <c r="T1737" s="34">
        <v>42167</v>
      </c>
      <c r="U1737" s="29">
        <v>-40.604199999999999</v>
      </c>
      <c r="V1737" s="26">
        <v>18</v>
      </c>
      <c r="W1737" s="29">
        <v>273.79000000000002</v>
      </c>
      <c r="X1737" s="26">
        <v>87885</v>
      </c>
      <c r="Y1737" s="35">
        <v>12.27</v>
      </c>
      <c r="Z1737" s="1" t="s">
        <v>3011</v>
      </c>
      <c r="AA1737" s="36">
        <v>0</v>
      </c>
      <c r="AB1737" s="54">
        <v>167.0119</v>
      </c>
      <c r="AC1737" s="54">
        <v>5.9321166666666674</v>
      </c>
      <c r="AD1737" s="36">
        <v>305.4042</v>
      </c>
    </row>
    <row r="1738" spans="1:30" s="37" customFormat="1" ht="15.75" customHeight="1" x14ac:dyDescent="0.2">
      <c r="A1738" s="26">
        <v>2840</v>
      </c>
      <c r="B1738" s="27" t="s">
        <v>1737</v>
      </c>
      <c r="C1738" s="27" t="s">
        <v>116</v>
      </c>
      <c r="D1738" s="28">
        <v>0.05</v>
      </c>
      <c r="E1738" s="29">
        <v>15.68</v>
      </c>
      <c r="F1738" s="29">
        <v>3.73</v>
      </c>
      <c r="G1738" s="30" t="s">
        <v>39</v>
      </c>
      <c r="H1738" s="27" t="s">
        <v>94</v>
      </c>
      <c r="I1738" s="27" t="s">
        <v>29</v>
      </c>
      <c r="J1738" s="27" t="s">
        <v>126</v>
      </c>
      <c r="K1738" s="27" t="s">
        <v>43</v>
      </c>
      <c r="L1738" s="31" t="s">
        <v>2727</v>
      </c>
      <c r="M1738" s="32">
        <v>0.46</v>
      </c>
      <c r="N1738" s="27" t="s">
        <v>33</v>
      </c>
      <c r="O1738" s="27" t="s">
        <v>34</v>
      </c>
      <c r="P1738" s="27" t="s">
        <v>123</v>
      </c>
      <c r="Q1738" s="27" t="s">
        <v>1739</v>
      </c>
      <c r="R1738" s="33">
        <v>33161</v>
      </c>
      <c r="S1738" s="34">
        <v>42166</v>
      </c>
      <c r="T1738" s="34">
        <v>42168</v>
      </c>
      <c r="U1738" s="29">
        <v>1166.6279999999999</v>
      </c>
      <c r="V1738" s="26">
        <v>17</v>
      </c>
      <c r="W1738" s="29">
        <v>260.01</v>
      </c>
      <c r="X1738" s="26">
        <v>87885</v>
      </c>
      <c r="Y1738" s="35">
        <v>15.629999999999999</v>
      </c>
      <c r="Z1738" s="1" t="s">
        <v>3011</v>
      </c>
      <c r="AA1738" s="36">
        <v>13.328000000000001</v>
      </c>
      <c r="AB1738" s="54">
        <v>140.40540000000001</v>
      </c>
      <c r="AC1738" s="54">
        <v>7.0355647058823534</v>
      </c>
      <c r="AD1738" s="36">
        <v>-923.67599999999993</v>
      </c>
    </row>
    <row r="1739" spans="1:30" s="37" customFormat="1" ht="15.75" customHeight="1" x14ac:dyDescent="0.2">
      <c r="A1739" s="26">
        <v>2543</v>
      </c>
      <c r="B1739" s="27" t="s">
        <v>2827</v>
      </c>
      <c r="C1739" s="27" t="s">
        <v>116</v>
      </c>
      <c r="D1739" s="28">
        <v>0.05</v>
      </c>
      <c r="E1739" s="29">
        <v>15.68</v>
      </c>
      <c r="F1739" s="29">
        <v>3.73</v>
      </c>
      <c r="G1739" s="30" t="s">
        <v>39</v>
      </c>
      <c r="H1739" s="27" t="s">
        <v>3095</v>
      </c>
      <c r="I1739" s="27" t="s">
        <v>29</v>
      </c>
      <c r="J1739" s="27" t="s">
        <v>126</v>
      </c>
      <c r="K1739" s="27" t="s">
        <v>43</v>
      </c>
      <c r="L1739" s="31" t="s">
        <v>2727</v>
      </c>
      <c r="M1739" s="32">
        <v>0.46</v>
      </c>
      <c r="N1739" s="27" t="s">
        <v>33</v>
      </c>
      <c r="O1739" s="27" t="s">
        <v>34</v>
      </c>
      <c r="P1739" s="27" t="s">
        <v>242</v>
      </c>
      <c r="Q1739" s="27" t="s">
        <v>2432</v>
      </c>
      <c r="R1739" s="33">
        <v>23223</v>
      </c>
      <c r="S1739" s="34">
        <v>42166</v>
      </c>
      <c r="T1739" s="34">
        <v>42167</v>
      </c>
      <c r="U1739" s="29">
        <v>3.54</v>
      </c>
      <c r="V1739" s="26">
        <v>17</v>
      </c>
      <c r="W1739" s="29">
        <v>257.48</v>
      </c>
      <c r="X1739" s="26">
        <v>87917</v>
      </c>
      <c r="Y1739" s="35">
        <v>195.97</v>
      </c>
      <c r="Z1739" s="1" t="s">
        <v>3011</v>
      </c>
      <c r="AA1739" s="36">
        <v>13.328000000000001</v>
      </c>
      <c r="AB1739" s="54">
        <v>139.03920000000002</v>
      </c>
      <c r="AC1739" s="54">
        <v>6.9671058823529419</v>
      </c>
      <c r="AD1739" s="36">
        <v>236.88200000000001</v>
      </c>
    </row>
    <row r="1740" spans="1:30" s="37" customFormat="1" ht="15.75" customHeight="1" x14ac:dyDescent="0.2">
      <c r="A1740" s="26">
        <v>2649</v>
      </c>
      <c r="B1740" s="27" t="s">
        <v>2826</v>
      </c>
      <c r="C1740" s="27" t="s">
        <v>38</v>
      </c>
      <c r="D1740" s="28">
        <v>0.01</v>
      </c>
      <c r="E1740" s="29">
        <v>39.979999999999997</v>
      </c>
      <c r="F1740" s="29">
        <v>4</v>
      </c>
      <c r="G1740" s="30" t="s">
        <v>39</v>
      </c>
      <c r="H1740" s="27" t="s">
        <v>94</v>
      </c>
      <c r="I1740" s="27" t="s">
        <v>41</v>
      </c>
      <c r="J1740" s="27" t="s">
        <v>42</v>
      </c>
      <c r="K1740" s="27" t="s">
        <v>73</v>
      </c>
      <c r="L1740" s="31" t="s">
        <v>1927</v>
      </c>
      <c r="M1740" s="32">
        <v>0.7</v>
      </c>
      <c r="N1740" s="27" t="s">
        <v>33</v>
      </c>
      <c r="O1740" s="27" t="s">
        <v>111</v>
      </c>
      <c r="P1740" s="27" t="s">
        <v>418</v>
      </c>
      <c r="Q1740" s="27" t="s">
        <v>2330</v>
      </c>
      <c r="R1740" s="33">
        <v>21040</v>
      </c>
      <c r="S1740" s="34">
        <v>42166</v>
      </c>
      <c r="T1740" s="34">
        <v>42167</v>
      </c>
      <c r="U1740" s="29">
        <v>-30.808</v>
      </c>
      <c r="V1740" s="26">
        <v>5</v>
      </c>
      <c r="W1740" s="29">
        <v>203.29</v>
      </c>
      <c r="X1740" s="26">
        <v>88814</v>
      </c>
      <c r="Y1740" s="35">
        <v>15.629999999999999</v>
      </c>
      <c r="Z1740" s="1" t="s">
        <v>3014</v>
      </c>
      <c r="AA1740" s="36">
        <v>1.9989999999999999</v>
      </c>
      <c r="AB1740" s="54">
        <v>60.987000000000009</v>
      </c>
      <c r="AC1740" s="54">
        <v>28.460599999999999</v>
      </c>
      <c r="AD1740" s="36">
        <v>228.09899999999999</v>
      </c>
    </row>
    <row r="1741" spans="1:30" s="37" customFormat="1" ht="15.75" customHeight="1" x14ac:dyDescent="0.2">
      <c r="A1741" s="26">
        <v>3078</v>
      </c>
      <c r="B1741" s="27" t="s">
        <v>2830</v>
      </c>
      <c r="C1741" s="27" t="s">
        <v>3094</v>
      </c>
      <c r="D1741" s="28">
        <v>0.04</v>
      </c>
      <c r="E1741" s="29">
        <v>35.44</v>
      </c>
      <c r="F1741" s="29">
        <v>5.09</v>
      </c>
      <c r="G1741" s="30" t="s">
        <v>39</v>
      </c>
      <c r="H1741" s="27" t="s">
        <v>3095</v>
      </c>
      <c r="I1741" s="27" t="s">
        <v>49</v>
      </c>
      <c r="J1741" s="27" t="s">
        <v>88</v>
      </c>
      <c r="K1741" s="27" t="s">
        <v>73</v>
      </c>
      <c r="L1741" s="31" t="s">
        <v>2078</v>
      </c>
      <c r="M1741" s="32">
        <v>0.38</v>
      </c>
      <c r="N1741" s="27" t="s">
        <v>33</v>
      </c>
      <c r="O1741" s="27" t="s">
        <v>111</v>
      </c>
      <c r="P1741" s="27" t="s">
        <v>317</v>
      </c>
      <c r="Q1741" s="27" t="s">
        <v>2831</v>
      </c>
      <c r="R1741" s="33">
        <v>43615</v>
      </c>
      <c r="S1741" s="34">
        <v>42166</v>
      </c>
      <c r="T1741" s="34">
        <v>42166</v>
      </c>
      <c r="U1741" s="29">
        <v>118.6317</v>
      </c>
      <c r="V1741" s="26">
        <v>5</v>
      </c>
      <c r="W1741" s="29">
        <v>171.93</v>
      </c>
      <c r="X1741" s="26">
        <v>88240</v>
      </c>
      <c r="Y1741" s="35">
        <v>14.98</v>
      </c>
      <c r="Z1741" s="1" t="s">
        <v>3014</v>
      </c>
      <c r="AA1741" s="36">
        <v>7.0880000000000001</v>
      </c>
      <c r="AB1741" s="54">
        <v>106.59660000000001</v>
      </c>
      <c r="AC1741" s="54">
        <v>13.066680000000002</v>
      </c>
      <c r="AD1741" s="36">
        <v>41.120300000000015</v>
      </c>
    </row>
    <row r="1742" spans="1:30" s="37" customFormat="1" ht="15.75" customHeight="1" x14ac:dyDescent="0.2">
      <c r="A1742" s="26">
        <v>3008</v>
      </c>
      <c r="B1742" s="27" t="s">
        <v>1518</v>
      </c>
      <c r="C1742" s="27" t="s">
        <v>38</v>
      </c>
      <c r="D1742" s="28">
        <v>0.01</v>
      </c>
      <c r="E1742" s="29">
        <v>12.28</v>
      </c>
      <c r="F1742" s="29">
        <v>6.47</v>
      </c>
      <c r="G1742" s="30" t="s">
        <v>39</v>
      </c>
      <c r="H1742" s="27" t="s">
        <v>71</v>
      </c>
      <c r="I1742" s="27" t="s">
        <v>49</v>
      </c>
      <c r="J1742" s="27" t="s">
        <v>88</v>
      </c>
      <c r="K1742" s="27" t="s">
        <v>73</v>
      </c>
      <c r="L1742" s="31" t="s">
        <v>2558</v>
      </c>
      <c r="M1742" s="32">
        <v>0.38</v>
      </c>
      <c r="N1742" s="27" t="s">
        <v>33</v>
      </c>
      <c r="O1742" s="27" t="s">
        <v>53</v>
      </c>
      <c r="P1742" s="27" t="s">
        <v>84</v>
      </c>
      <c r="Q1742" s="27" t="s">
        <v>1520</v>
      </c>
      <c r="R1742" s="33">
        <v>55343</v>
      </c>
      <c r="S1742" s="34">
        <v>42166</v>
      </c>
      <c r="T1742" s="34">
        <v>42167</v>
      </c>
      <c r="U1742" s="29">
        <v>47.61</v>
      </c>
      <c r="V1742" s="26">
        <v>12</v>
      </c>
      <c r="W1742" s="29">
        <v>160.66</v>
      </c>
      <c r="X1742" s="26">
        <v>89415</v>
      </c>
      <c r="Y1742" s="35">
        <v>38.739999999999995</v>
      </c>
      <c r="Z1742" s="1" t="s">
        <v>3012</v>
      </c>
      <c r="AA1742" s="36">
        <v>1.4735999999999998</v>
      </c>
      <c r="AB1742" s="54">
        <v>99.609200000000001</v>
      </c>
      <c r="AC1742" s="54">
        <v>5.0875666666666666</v>
      </c>
      <c r="AD1742" s="36">
        <v>105.10640000000001</v>
      </c>
    </row>
    <row r="1743" spans="1:30" s="37" customFormat="1" ht="15.75" customHeight="1" x14ac:dyDescent="0.2">
      <c r="A1743" s="26">
        <v>3079</v>
      </c>
      <c r="B1743" s="27" t="s">
        <v>319</v>
      </c>
      <c r="C1743" s="27" t="s">
        <v>3094</v>
      </c>
      <c r="D1743" s="28">
        <v>0.08</v>
      </c>
      <c r="E1743" s="29">
        <v>3.98</v>
      </c>
      <c r="F1743" s="29">
        <v>0.7</v>
      </c>
      <c r="G1743" s="30" t="s">
        <v>39</v>
      </c>
      <c r="H1743" s="27" t="s">
        <v>3095</v>
      </c>
      <c r="I1743" s="27" t="s">
        <v>49</v>
      </c>
      <c r="J1743" s="27" t="s">
        <v>50</v>
      </c>
      <c r="K1743" s="27" t="s">
        <v>51</v>
      </c>
      <c r="L1743" s="31" t="s">
        <v>348</v>
      </c>
      <c r="M1743" s="32">
        <v>0.52</v>
      </c>
      <c r="N1743" s="27" t="s">
        <v>33</v>
      </c>
      <c r="O1743" s="27" t="s">
        <v>111</v>
      </c>
      <c r="P1743" s="27" t="s">
        <v>320</v>
      </c>
      <c r="Q1743" s="27" t="s">
        <v>321</v>
      </c>
      <c r="R1743" s="33">
        <v>19112</v>
      </c>
      <c r="S1743" s="34">
        <v>42166</v>
      </c>
      <c r="T1743" s="34">
        <v>42169</v>
      </c>
      <c r="U1743" s="29">
        <v>19.420000000000002</v>
      </c>
      <c r="V1743" s="26">
        <v>36</v>
      </c>
      <c r="W1743" s="29">
        <v>140.78</v>
      </c>
      <c r="X1743" s="26">
        <v>53476</v>
      </c>
      <c r="Y1743" s="35">
        <v>35.4</v>
      </c>
      <c r="Z1743" s="1" t="s">
        <v>3014</v>
      </c>
      <c r="AA1743" s="36">
        <v>11.462400000000001</v>
      </c>
      <c r="AB1743" s="54">
        <v>67.574399999999997</v>
      </c>
      <c r="AC1743" s="54">
        <v>2.0334888888888889</v>
      </c>
      <c r="AD1743" s="36">
        <v>109.19759999999999</v>
      </c>
    </row>
    <row r="1744" spans="1:30" s="37" customFormat="1" ht="15.75" customHeight="1" x14ac:dyDescent="0.2">
      <c r="A1744" s="26">
        <v>3079</v>
      </c>
      <c r="B1744" s="27" t="s">
        <v>319</v>
      </c>
      <c r="C1744" s="27" t="s">
        <v>3094</v>
      </c>
      <c r="D1744" s="28">
        <v>0.01</v>
      </c>
      <c r="E1744" s="29">
        <v>1.76</v>
      </c>
      <c r="F1744" s="29">
        <v>0.7</v>
      </c>
      <c r="G1744" s="30" t="s">
        <v>39</v>
      </c>
      <c r="H1744" s="27" t="s">
        <v>3095</v>
      </c>
      <c r="I1744" s="27" t="s">
        <v>49</v>
      </c>
      <c r="J1744" s="27" t="s">
        <v>50</v>
      </c>
      <c r="K1744" s="27" t="s">
        <v>51</v>
      </c>
      <c r="L1744" s="31" t="s">
        <v>1663</v>
      </c>
      <c r="M1744" s="32">
        <v>0.56000000000000005</v>
      </c>
      <c r="N1744" s="27" t="s">
        <v>33</v>
      </c>
      <c r="O1744" s="27" t="s">
        <v>111</v>
      </c>
      <c r="P1744" s="27" t="s">
        <v>320</v>
      </c>
      <c r="Q1744" s="27" t="s">
        <v>321</v>
      </c>
      <c r="R1744" s="33">
        <v>19112</v>
      </c>
      <c r="S1744" s="34">
        <v>42166</v>
      </c>
      <c r="T1744" s="34">
        <v>42167</v>
      </c>
      <c r="U1744" s="29">
        <v>3.13</v>
      </c>
      <c r="V1744" s="26">
        <v>71</v>
      </c>
      <c r="W1744" s="29">
        <v>129.72</v>
      </c>
      <c r="X1744" s="26">
        <v>53476</v>
      </c>
      <c r="Y1744" s="35">
        <v>3.9</v>
      </c>
      <c r="Z1744" s="1" t="s">
        <v>3014</v>
      </c>
      <c r="AA1744" s="36">
        <v>1.2496</v>
      </c>
      <c r="AB1744" s="54">
        <v>57.076799999999992</v>
      </c>
      <c r="AC1744" s="54">
        <v>1.023143661971831</v>
      </c>
      <c r="AD1744" s="36">
        <v>124.6404</v>
      </c>
    </row>
    <row r="1745" spans="1:30" s="37" customFormat="1" ht="15.75" customHeight="1" x14ac:dyDescent="0.2">
      <c r="A1745" s="26">
        <v>3252</v>
      </c>
      <c r="B1745" s="27" t="s">
        <v>1923</v>
      </c>
      <c r="C1745" s="27" t="s">
        <v>26</v>
      </c>
      <c r="D1745" s="28">
        <v>0.02</v>
      </c>
      <c r="E1745" s="29">
        <v>5.28</v>
      </c>
      <c r="F1745" s="29">
        <v>6.26</v>
      </c>
      <c r="G1745" s="30" t="s">
        <v>39</v>
      </c>
      <c r="H1745" s="27" t="s">
        <v>94</v>
      </c>
      <c r="I1745" s="27" t="s">
        <v>49</v>
      </c>
      <c r="J1745" s="27" t="s">
        <v>88</v>
      </c>
      <c r="K1745" s="27" t="s">
        <v>73</v>
      </c>
      <c r="L1745" s="31" t="s">
        <v>2458</v>
      </c>
      <c r="M1745" s="32">
        <v>0.4</v>
      </c>
      <c r="N1745" s="27" t="s">
        <v>33</v>
      </c>
      <c r="O1745" s="27" t="s">
        <v>111</v>
      </c>
      <c r="P1745" s="27" t="s">
        <v>112</v>
      </c>
      <c r="Q1745" s="27" t="s">
        <v>1924</v>
      </c>
      <c r="R1745" s="33">
        <v>12306</v>
      </c>
      <c r="S1745" s="34">
        <v>42166</v>
      </c>
      <c r="T1745" s="34">
        <v>42167</v>
      </c>
      <c r="U1745" s="29">
        <v>-65.58</v>
      </c>
      <c r="V1745" s="26">
        <v>19</v>
      </c>
      <c r="W1745" s="29">
        <v>103.18</v>
      </c>
      <c r="X1745" s="26">
        <v>87299</v>
      </c>
      <c r="Y1745" s="35">
        <v>35.4</v>
      </c>
      <c r="Z1745" s="1" t="s">
        <v>3014</v>
      </c>
      <c r="AA1745" s="36">
        <v>2.0064000000000002</v>
      </c>
      <c r="AB1745" s="54">
        <v>61.908000000000001</v>
      </c>
      <c r="AC1745" s="54">
        <v>2.1722105263157898</v>
      </c>
      <c r="AD1745" s="36">
        <v>160.49360000000001</v>
      </c>
    </row>
    <row r="1746" spans="1:30" s="37" customFormat="1" ht="15.75" customHeight="1" x14ac:dyDescent="0.2">
      <c r="A1746" s="26">
        <v>2840</v>
      </c>
      <c r="B1746" s="27" t="s">
        <v>1737</v>
      </c>
      <c r="C1746" s="27" t="s">
        <v>116</v>
      </c>
      <c r="D1746" s="28">
        <v>0.02</v>
      </c>
      <c r="E1746" s="29">
        <v>38.76</v>
      </c>
      <c r="F1746" s="29">
        <v>13.26</v>
      </c>
      <c r="G1746" s="30" t="s">
        <v>39</v>
      </c>
      <c r="H1746" s="27" t="s">
        <v>94</v>
      </c>
      <c r="I1746" s="27" t="s">
        <v>49</v>
      </c>
      <c r="J1746" s="27" t="s">
        <v>88</v>
      </c>
      <c r="K1746" s="27" t="s">
        <v>73</v>
      </c>
      <c r="L1746" s="31" t="s">
        <v>2829</v>
      </c>
      <c r="M1746" s="32">
        <v>0.36</v>
      </c>
      <c r="N1746" s="27" t="s">
        <v>33</v>
      </c>
      <c r="O1746" s="27" t="s">
        <v>34</v>
      </c>
      <c r="P1746" s="27" t="s">
        <v>123</v>
      </c>
      <c r="Q1746" s="27" t="s">
        <v>1739</v>
      </c>
      <c r="R1746" s="33">
        <v>33161</v>
      </c>
      <c r="S1746" s="34">
        <v>42166</v>
      </c>
      <c r="T1746" s="34">
        <v>42167</v>
      </c>
      <c r="U1746" s="29">
        <v>-294.084</v>
      </c>
      <c r="V1746" s="26">
        <v>1</v>
      </c>
      <c r="W1746" s="29">
        <v>44.62</v>
      </c>
      <c r="X1746" s="26">
        <v>87885</v>
      </c>
      <c r="Y1746" s="35">
        <v>3.9</v>
      </c>
      <c r="Z1746" s="1" t="s">
        <v>3011</v>
      </c>
      <c r="AA1746" s="36">
        <v>0.7752</v>
      </c>
      <c r="AB1746" s="54">
        <v>28.556799999999999</v>
      </c>
      <c r="AC1746" s="54">
        <v>16.063199999999998</v>
      </c>
      <c r="AD1746" s="36">
        <v>324.66880000000003</v>
      </c>
    </row>
    <row r="1747" spans="1:30" s="37" customFormat="1" ht="15.75" customHeight="1" x14ac:dyDescent="0.2">
      <c r="A1747" s="26">
        <v>3078</v>
      </c>
      <c r="B1747" s="27" t="s">
        <v>2830</v>
      </c>
      <c r="C1747" s="27" t="s">
        <v>3094</v>
      </c>
      <c r="D1747" s="28">
        <v>0.08</v>
      </c>
      <c r="E1747" s="29">
        <v>3.98</v>
      </c>
      <c r="F1747" s="29">
        <v>0.7</v>
      </c>
      <c r="G1747" s="30" t="s">
        <v>39</v>
      </c>
      <c r="H1747" s="27" t="s">
        <v>3095</v>
      </c>
      <c r="I1747" s="27" t="s">
        <v>49</v>
      </c>
      <c r="J1747" s="27" t="s">
        <v>50</v>
      </c>
      <c r="K1747" s="27" t="s">
        <v>51</v>
      </c>
      <c r="L1747" s="31" t="s">
        <v>348</v>
      </c>
      <c r="M1747" s="32">
        <v>0.52</v>
      </c>
      <c r="N1747" s="27" t="s">
        <v>33</v>
      </c>
      <c r="O1747" s="27" t="s">
        <v>111</v>
      </c>
      <c r="P1747" s="27" t="s">
        <v>317</v>
      </c>
      <c r="Q1747" s="27" t="s">
        <v>2831</v>
      </c>
      <c r="R1747" s="33">
        <v>43615</v>
      </c>
      <c r="S1747" s="34">
        <v>42166</v>
      </c>
      <c r="T1747" s="34">
        <v>42169</v>
      </c>
      <c r="U1747" s="29">
        <v>23.303999999999998</v>
      </c>
      <c r="V1747" s="26">
        <v>9</v>
      </c>
      <c r="W1747" s="29">
        <v>35.19</v>
      </c>
      <c r="X1747" s="26">
        <v>88240</v>
      </c>
      <c r="Y1747" s="35">
        <v>1.75</v>
      </c>
      <c r="Z1747" s="1" t="s">
        <v>3014</v>
      </c>
      <c r="AA1747" s="36">
        <v>2.8656000000000001</v>
      </c>
      <c r="AB1747" s="54">
        <v>16.891199999999998</v>
      </c>
      <c r="AC1747" s="54">
        <v>2.0331999999999999</v>
      </c>
      <c r="AD1747" s="36">
        <v>8.3203999999999994</v>
      </c>
    </row>
    <row r="1748" spans="1:30" s="37" customFormat="1" ht="15.75" customHeight="1" x14ac:dyDescent="0.2">
      <c r="A1748" s="26">
        <v>1265</v>
      </c>
      <c r="B1748" s="27" t="s">
        <v>2820</v>
      </c>
      <c r="C1748" s="27" t="s">
        <v>26</v>
      </c>
      <c r="D1748" s="28">
        <v>0.05</v>
      </c>
      <c r="E1748" s="29">
        <v>5.28</v>
      </c>
      <c r="F1748" s="29">
        <v>6.26</v>
      </c>
      <c r="G1748" s="30" t="s">
        <v>39</v>
      </c>
      <c r="H1748" s="27" t="s">
        <v>71</v>
      </c>
      <c r="I1748" s="27" t="s">
        <v>49</v>
      </c>
      <c r="J1748" s="27" t="s">
        <v>88</v>
      </c>
      <c r="K1748" s="27" t="s">
        <v>73</v>
      </c>
      <c r="L1748" s="31" t="s">
        <v>2458</v>
      </c>
      <c r="M1748" s="32">
        <v>0.4</v>
      </c>
      <c r="N1748" s="27" t="s">
        <v>33</v>
      </c>
      <c r="O1748" s="27" t="s">
        <v>53</v>
      </c>
      <c r="P1748" s="27" t="s">
        <v>207</v>
      </c>
      <c r="Q1748" s="27" t="s">
        <v>2821</v>
      </c>
      <c r="R1748" s="33">
        <v>73521</v>
      </c>
      <c r="S1748" s="34">
        <v>42166</v>
      </c>
      <c r="T1748" s="34">
        <v>42167</v>
      </c>
      <c r="U1748" s="29">
        <v>-11.375999999999999</v>
      </c>
      <c r="V1748" s="26">
        <v>1</v>
      </c>
      <c r="W1748" s="29">
        <v>7.15</v>
      </c>
      <c r="X1748" s="26">
        <v>89729</v>
      </c>
      <c r="Y1748" s="35">
        <v>193.16</v>
      </c>
      <c r="Z1748" s="1" t="s">
        <v>3012</v>
      </c>
      <c r="AA1748" s="36">
        <v>0.26400000000000001</v>
      </c>
      <c r="AB1748" s="54">
        <v>4.29</v>
      </c>
      <c r="AC1748" s="54">
        <v>2.8600000000000003</v>
      </c>
      <c r="AD1748" s="36">
        <v>12.001999999999999</v>
      </c>
    </row>
    <row r="1749" spans="1:30" s="37" customFormat="1" ht="15.75" customHeight="1" x14ac:dyDescent="0.2">
      <c r="A1749" s="26">
        <v>2046</v>
      </c>
      <c r="B1749" s="27" t="s">
        <v>2832</v>
      </c>
      <c r="C1749" s="27" t="s">
        <v>26</v>
      </c>
      <c r="D1749" s="28">
        <v>0.06</v>
      </c>
      <c r="E1749" s="29">
        <v>424.21</v>
      </c>
      <c r="F1749" s="29">
        <v>110.2</v>
      </c>
      <c r="G1749" s="30" t="s">
        <v>27</v>
      </c>
      <c r="H1749" s="27" t="s">
        <v>94</v>
      </c>
      <c r="I1749" s="27" t="s">
        <v>29</v>
      </c>
      <c r="J1749" s="27" t="s">
        <v>30</v>
      </c>
      <c r="K1749" s="27" t="s">
        <v>31</v>
      </c>
      <c r="L1749" s="31" t="s">
        <v>915</v>
      </c>
      <c r="M1749" s="32">
        <v>0.67</v>
      </c>
      <c r="N1749" s="27" t="s">
        <v>33</v>
      </c>
      <c r="O1749" s="27" t="s">
        <v>53</v>
      </c>
      <c r="P1749" s="27" t="s">
        <v>537</v>
      </c>
      <c r="Q1749" s="27" t="s">
        <v>2834</v>
      </c>
      <c r="R1749" s="33">
        <v>67901</v>
      </c>
      <c r="S1749" s="34">
        <v>42167</v>
      </c>
      <c r="T1749" s="34">
        <v>42168</v>
      </c>
      <c r="U1749" s="29">
        <v>682.53</v>
      </c>
      <c r="V1749" s="26">
        <v>17</v>
      </c>
      <c r="W1749" s="29">
        <v>7304.03</v>
      </c>
      <c r="X1749" s="26">
        <v>88219</v>
      </c>
      <c r="Y1749" s="35">
        <v>4.24</v>
      </c>
      <c r="Z1749" s="1" t="s">
        <v>3012</v>
      </c>
      <c r="AA1749" s="36">
        <v>432.69419999999997</v>
      </c>
      <c r="AB1749" s="54">
        <v>2410.3298999999997</v>
      </c>
      <c r="AC1749" s="54">
        <v>287.86471176470587</v>
      </c>
      <c r="AD1749" s="36">
        <v>6078.6057999999994</v>
      </c>
    </row>
    <row r="1750" spans="1:30" s="37" customFormat="1" ht="15.75" customHeight="1" x14ac:dyDescent="0.2">
      <c r="A1750" s="26">
        <v>550</v>
      </c>
      <c r="B1750" s="27" t="s">
        <v>872</v>
      </c>
      <c r="C1750" s="27" t="s">
        <v>116</v>
      </c>
      <c r="D1750" s="28">
        <v>0.06</v>
      </c>
      <c r="E1750" s="29">
        <v>549.99</v>
      </c>
      <c r="F1750" s="29">
        <v>49</v>
      </c>
      <c r="G1750" s="30" t="s">
        <v>27</v>
      </c>
      <c r="H1750" s="27" t="s">
        <v>94</v>
      </c>
      <c r="I1750" s="27" t="s">
        <v>41</v>
      </c>
      <c r="J1750" s="27" t="s">
        <v>64</v>
      </c>
      <c r="K1750" s="27" t="s">
        <v>58</v>
      </c>
      <c r="L1750" s="31" t="s">
        <v>1244</v>
      </c>
      <c r="M1750" s="32">
        <v>0.35</v>
      </c>
      <c r="N1750" s="27" t="s">
        <v>33</v>
      </c>
      <c r="O1750" s="27" t="s">
        <v>53</v>
      </c>
      <c r="P1750" s="27" t="s">
        <v>187</v>
      </c>
      <c r="Q1750" s="27" t="s">
        <v>873</v>
      </c>
      <c r="R1750" s="33">
        <v>78155</v>
      </c>
      <c r="S1750" s="34">
        <v>42167</v>
      </c>
      <c r="T1750" s="34">
        <v>42168</v>
      </c>
      <c r="U1750" s="29">
        <v>4637.4071999999996</v>
      </c>
      <c r="V1750" s="26">
        <v>13</v>
      </c>
      <c r="W1750" s="29">
        <v>6720.88</v>
      </c>
      <c r="X1750" s="26">
        <v>90910</v>
      </c>
      <c r="Y1750" s="35">
        <v>376.07</v>
      </c>
      <c r="Z1750" s="1" t="s">
        <v>3012</v>
      </c>
      <c r="AA1750" s="36">
        <v>428.99220000000003</v>
      </c>
      <c r="AB1750" s="54">
        <v>4368.5720000000001</v>
      </c>
      <c r="AC1750" s="54">
        <v>180.94676923076923</v>
      </c>
      <c r="AD1750" s="36">
        <v>1605.4806000000008</v>
      </c>
    </row>
    <row r="1751" spans="1:30" s="37" customFormat="1" ht="15.75" customHeight="1" x14ac:dyDescent="0.2">
      <c r="A1751" s="26">
        <v>2046</v>
      </c>
      <c r="B1751" s="27" t="s">
        <v>2832</v>
      </c>
      <c r="C1751" s="27" t="s">
        <v>26</v>
      </c>
      <c r="D1751" s="28">
        <v>0.06</v>
      </c>
      <c r="E1751" s="29">
        <v>376.13</v>
      </c>
      <c r="F1751" s="29">
        <v>85.63</v>
      </c>
      <c r="G1751" s="30" t="s">
        <v>27</v>
      </c>
      <c r="H1751" s="27" t="s">
        <v>94</v>
      </c>
      <c r="I1751" s="27" t="s">
        <v>29</v>
      </c>
      <c r="J1751" s="27" t="s">
        <v>30</v>
      </c>
      <c r="K1751" s="27" t="s">
        <v>31</v>
      </c>
      <c r="L1751" s="31" t="s">
        <v>2835</v>
      </c>
      <c r="M1751" s="32">
        <v>0.74</v>
      </c>
      <c r="N1751" s="27" t="s">
        <v>33</v>
      </c>
      <c r="O1751" s="27" t="s">
        <v>53</v>
      </c>
      <c r="P1751" s="27" t="s">
        <v>537</v>
      </c>
      <c r="Q1751" s="27" t="s">
        <v>2834</v>
      </c>
      <c r="R1751" s="33">
        <v>67901</v>
      </c>
      <c r="S1751" s="34">
        <v>42167</v>
      </c>
      <c r="T1751" s="34">
        <v>42169</v>
      </c>
      <c r="U1751" s="29">
        <v>-435.75749999999999</v>
      </c>
      <c r="V1751" s="26">
        <v>13</v>
      </c>
      <c r="W1751" s="29">
        <v>4634.6899999999996</v>
      </c>
      <c r="X1751" s="26">
        <v>88219</v>
      </c>
      <c r="Y1751" s="35">
        <v>424.15</v>
      </c>
      <c r="Z1751" s="1" t="s">
        <v>3012</v>
      </c>
      <c r="AA1751" s="36">
        <v>293.38139999999999</v>
      </c>
      <c r="AB1751" s="54">
        <v>1205.0193999999999</v>
      </c>
      <c r="AC1751" s="54">
        <v>263.82081538461534</v>
      </c>
      <c r="AD1751" s="36">
        <v>4691.4360999999999</v>
      </c>
    </row>
    <row r="1752" spans="1:30" s="37" customFormat="1" ht="15.75" customHeight="1" x14ac:dyDescent="0.2">
      <c r="A1752" s="26">
        <v>1466</v>
      </c>
      <c r="B1752" s="27" t="s">
        <v>2825</v>
      </c>
      <c r="C1752" s="27" t="s">
        <v>48</v>
      </c>
      <c r="D1752" s="28">
        <v>0.04</v>
      </c>
      <c r="E1752" s="29">
        <v>130.97999999999999</v>
      </c>
      <c r="F1752" s="29">
        <v>54.74</v>
      </c>
      <c r="G1752" s="30" t="s">
        <v>27</v>
      </c>
      <c r="H1752" s="27" t="s">
        <v>3095</v>
      </c>
      <c r="I1752" s="27" t="s">
        <v>29</v>
      </c>
      <c r="J1752" s="27" t="s">
        <v>117</v>
      </c>
      <c r="K1752" s="27" t="s">
        <v>31</v>
      </c>
      <c r="L1752" s="31" t="s">
        <v>1403</v>
      </c>
      <c r="M1752" s="32">
        <v>0.69</v>
      </c>
      <c r="N1752" s="27" t="s">
        <v>33</v>
      </c>
      <c r="O1752" s="27" t="s">
        <v>53</v>
      </c>
      <c r="P1752" s="27" t="s">
        <v>133</v>
      </c>
      <c r="Q1752" s="27" t="s">
        <v>1483</v>
      </c>
      <c r="R1752" s="33">
        <v>68601</v>
      </c>
      <c r="S1752" s="34">
        <v>42167</v>
      </c>
      <c r="T1752" s="34">
        <v>42167</v>
      </c>
      <c r="U1752" s="29">
        <v>-723.78399999999999</v>
      </c>
      <c r="V1752" s="26">
        <v>14</v>
      </c>
      <c r="W1752" s="29">
        <v>1781.66</v>
      </c>
      <c r="X1752" s="26">
        <v>91116</v>
      </c>
      <c r="Y1752" s="35">
        <v>195.93</v>
      </c>
      <c r="Z1752" s="1" t="s">
        <v>3012</v>
      </c>
      <c r="AA1752" s="36">
        <v>73.348799999999997</v>
      </c>
      <c r="AB1752" s="54">
        <v>552.31460000000015</v>
      </c>
      <c r="AC1752" s="54">
        <v>87.810385714285715</v>
      </c>
      <c r="AD1752" s="36">
        <v>2377.3552</v>
      </c>
    </row>
    <row r="1753" spans="1:30" s="37" customFormat="1" ht="15.75" customHeight="1" x14ac:dyDescent="0.2">
      <c r="A1753" s="26">
        <v>1745</v>
      </c>
      <c r="B1753" s="27" t="s">
        <v>359</v>
      </c>
      <c r="C1753" s="27" t="s">
        <v>38</v>
      </c>
      <c r="D1753" s="28">
        <v>0.1</v>
      </c>
      <c r="E1753" s="29">
        <v>35.99</v>
      </c>
      <c r="F1753" s="29">
        <v>5</v>
      </c>
      <c r="G1753" s="30" t="s">
        <v>39</v>
      </c>
      <c r="H1753" s="27" t="s">
        <v>40</v>
      </c>
      <c r="I1753" s="27" t="s">
        <v>41</v>
      </c>
      <c r="J1753" s="27" t="s">
        <v>135</v>
      </c>
      <c r="K1753" s="27" t="s">
        <v>51</v>
      </c>
      <c r="L1753" s="31" t="s">
        <v>1849</v>
      </c>
      <c r="M1753" s="32">
        <v>0.82</v>
      </c>
      <c r="N1753" s="27" t="s">
        <v>33</v>
      </c>
      <c r="O1753" s="27" t="s">
        <v>34</v>
      </c>
      <c r="P1753" s="27" t="s">
        <v>75</v>
      </c>
      <c r="Q1753" s="27" t="s">
        <v>361</v>
      </c>
      <c r="R1753" s="33">
        <v>30305</v>
      </c>
      <c r="S1753" s="34">
        <v>42167</v>
      </c>
      <c r="T1753" s="34">
        <v>42167</v>
      </c>
      <c r="U1753" s="29">
        <v>-277.20924000000002</v>
      </c>
      <c r="V1753" s="26">
        <v>54</v>
      </c>
      <c r="W1753" s="29">
        <v>1569</v>
      </c>
      <c r="X1753" s="26">
        <v>12224</v>
      </c>
      <c r="Y1753" s="35">
        <v>29.1</v>
      </c>
      <c r="Z1753" s="1" t="s">
        <v>3011</v>
      </c>
      <c r="AA1753" s="36">
        <v>194.346</v>
      </c>
      <c r="AB1753" s="54">
        <v>282.42000000000007</v>
      </c>
      <c r="AC1753" s="54">
        <v>23.825555555555557</v>
      </c>
      <c r="AD1753" s="36">
        <v>1646.8632400000001</v>
      </c>
    </row>
    <row r="1754" spans="1:30" s="37" customFormat="1" ht="15.75" customHeight="1" x14ac:dyDescent="0.2">
      <c r="A1754" s="26">
        <v>1469</v>
      </c>
      <c r="B1754" s="27" t="s">
        <v>2845</v>
      </c>
      <c r="C1754" s="27" t="s">
        <v>48</v>
      </c>
      <c r="D1754" s="28">
        <v>0.04</v>
      </c>
      <c r="E1754" s="29">
        <v>105.29</v>
      </c>
      <c r="F1754" s="29">
        <v>10.119999999999999</v>
      </c>
      <c r="G1754" s="30" t="s">
        <v>39</v>
      </c>
      <c r="H1754" s="27" t="s">
        <v>3095</v>
      </c>
      <c r="I1754" s="27" t="s">
        <v>29</v>
      </c>
      <c r="J1754" s="27" t="s">
        <v>126</v>
      </c>
      <c r="K1754" s="27" t="s">
        <v>65</v>
      </c>
      <c r="L1754" s="31" t="s">
        <v>194</v>
      </c>
      <c r="M1754" s="32">
        <v>0.79</v>
      </c>
      <c r="N1754" s="27" t="s">
        <v>33</v>
      </c>
      <c r="O1754" s="27" t="s">
        <v>60</v>
      </c>
      <c r="P1754" s="27" t="s">
        <v>146</v>
      </c>
      <c r="Q1754" s="27" t="s">
        <v>2846</v>
      </c>
      <c r="R1754" s="33">
        <v>84015</v>
      </c>
      <c r="S1754" s="34">
        <v>42167</v>
      </c>
      <c r="T1754" s="34">
        <v>42171</v>
      </c>
      <c r="U1754" s="29">
        <v>589.18799999999999</v>
      </c>
      <c r="V1754" s="26">
        <v>9</v>
      </c>
      <c r="W1754" s="29">
        <v>940.64</v>
      </c>
      <c r="X1754" s="26">
        <v>91116</v>
      </c>
      <c r="Y1754" s="35">
        <v>8.7800000000000011</v>
      </c>
      <c r="Z1754" s="1" t="s">
        <v>3013</v>
      </c>
      <c r="AA1754" s="36">
        <v>37.90440000000001</v>
      </c>
      <c r="AB1754" s="54">
        <v>197.53439999999998</v>
      </c>
      <c r="AC1754" s="54">
        <v>82.567288888888882</v>
      </c>
      <c r="AD1754" s="36">
        <v>303.42759999999998</v>
      </c>
    </row>
    <row r="1755" spans="1:30" s="37" customFormat="1" ht="15.75" customHeight="1" x14ac:dyDescent="0.2">
      <c r="A1755" s="26">
        <v>1781</v>
      </c>
      <c r="B1755" s="27" t="s">
        <v>299</v>
      </c>
      <c r="C1755" s="27" t="s">
        <v>38</v>
      </c>
      <c r="D1755" s="28">
        <v>0</v>
      </c>
      <c r="E1755" s="29">
        <v>55.48</v>
      </c>
      <c r="F1755" s="29">
        <v>14.3</v>
      </c>
      <c r="G1755" s="30" t="s">
        <v>39</v>
      </c>
      <c r="H1755" s="27" t="s">
        <v>94</v>
      </c>
      <c r="I1755" s="27" t="s">
        <v>49</v>
      </c>
      <c r="J1755" s="27" t="s">
        <v>88</v>
      </c>
      <c r="K1755" s="27" t="s">
        <v>73</v>
      </c>
      <c r="L1755" s="31" t="s">
        <v>847</v>
      </c>
      <c r="M1755" s="32">
        <v>0.37</v>
      </c>
      <c r="N1755" s="27" t="s">
        <v>33</v>
      </c>
      <c r="O1755" s="27" t="s">
        <v>60</v>
      </c>
      <c r="P1755" s="27" t="s">
        <v>90</v>
      </c>
      <c r="Q1755" s="27" t="s">
        <v>301</v>
      </c>
      <c r="R1755" s="33">
        <v>94070</v>
      </c>
      <c r="S1755" s="34">
        <v>42167</v>
      </c>
      <c r="T1755" s="34">
        <v>42169</v>
      </c>
      <c r="U1755" s="29">
        <v>454.44779999999997</v>
      </c>
      <c r="V1755" s="26">
        <v>11</v>
      </c>
      <c r="W1755" s="29">
        <v>658.62</v>
      </c>
      <c r="X1755" s="26">
        <v>89857</v>
      </c>
      <c r="Y1755" s="35">
        <v>6.4600000000000009</v>
      </c>
      <c r="Z1755" s="1" t="s">
        <v>3013</v>
      </c>
      <c r="AA1755" s="36">
        <v>0</v>
      </c>
      <c r="AB1755" s="54">
        <v>414.93060000000003</v>
      </c>
      <c r="AC1755" s="54">
        <v>22.153581818181816</v>
      </c>
      <c r="AD1755" s="36">
        <v>189.87220000000002</v>
      </c>
    </row>
    <row r="1756" spans="1:30" s="37" customFormat="1" ht="15.75" customHeight="1" x14ac:dyDescent="0.2">
      <c r="A1756" s="26">
        <v>2046</v>
      </c>
      <c r="B1756" s="27" t="s">
        <v>2832</v>
      </c>
      <c r="C1756" s="27" t="s">
        <v>26</v>
      </c>
      <c r="D1756" s="28">
        <v>0.06</v>
      </c>
      <c r="E1756" s="29">
        <v>195.99</v>
      </c>
      <c r="F1756" s="29">
        <v>8.99</v>
      </c>
      <c r="G1756" s="30" t="s">
        <v>39</v>
      </c>
      <c r="H1756" s="27" t="s">
        <v>94</v>
      </c>
      <c r="I1756" s="27" t="s">
        <v>41</v>
      </c>
      <c r="J1756" s="27" t="s">
        <v>135</v>
      </c>
      <c r="K1756" s="27" t="s">
        <v>73</v>
      </c>
      <c r="L1756" s="31" t="s">
        <v>1343</v>
      </c>
      <c r="M1756" s="32">
        <v>0.6</v>
      </c>
      <c r="N1756" s="27" t="s">
        <v>33</v>
      </c>
      <c r="O1756" s="27" t="s">
        <v>53</v>
      </c>
      <c r="P1756" s="27" t="s">
        <v>537</v>
      </c>
      <c r="Q1756" s="27" t="s">
        <v>2834</v>
      </c>
      <c r="R1756" s="33">
        <v>67901</v>
      </c>
      <c r="S1756" s="34">
        <v>42167</v>
      </c>
      <c r="T1756" s="34">
        <v>42169</v>
      </c>
      <c r="U1756" s="29">
        <v>-277.22199999999998</v>
      </c>
      <c r="V1756" s="26">
        <v>4</v>
      </c>
      <c r="W1756" s="29">
        <v>632.65</v>
      </c>
      <c r="X1756" s="26">
        <v>88219</v>
      </c>
      <c r="Y1756" s="35">
        <v>124.44999999999999</v>
      </c>
      <c r="Z1756" s="1" t="s">
        <v>3012</v>
      </c>
      <c r="AA1756" s="36">
        <v>47.037599999999998</v>
      </c>
      <c r="AB1756" s="54">
        <v>253.06</v>
      </c>
      <c r="AC1756" s="54">
        <v>94.897499999999994</v>
      </c>
      <c r="AD1756" s="36">
        <v>853.84439999999995</v>
      </c>
    </row>
    <row r="1757" spans="1:30" s="37" customFormat="1" ht="15.75" customHeight="1" x14ac:dyDescent="0.2">
      <c r="A1757" s="26">
        <v>1745</v>
      </c>
      <c r="B1757" s="27" t="s">
        <v>359</v>
      </c>
      <c r="C1757" s="27" t="s">
        <v>38</v>
      </c>
      <c r="D1757" s="28">
        <v>0.04</v>
      </c>
      <c r="E1757" s="29">
        <v>124.49</v>
      </c>
      <c r="F1757" s="29">
        <v>51.94</v>
      </c>
      <c r="G1757" s="30" t="s">
        <v>27</v>
      </c>
      <c r="H1757" s="27" t="s">
        <v>40</v>
      </c>
      <c r="I1757" s="27" t="s">
        <v>29</v>
      </c>
      <c r="J1757" s="27" t="s">
        <v>30</v>
      </c>
      <c r="K1757" s="27" t="s">
        <v>31</v>
      </c>
      <c r="L1757" s="31" t="s">
        <v>1149</v>
      </c>
      <c r="M1757" s="32">
        <v>0.63</v>
      </c>
      <c r="N1757" s="27" t="s">
        <v>33</v>
      </c>
      <c r="O1757" s="27" t="s">
        <v>34</v>
      </c>
      <c r="P1757" s="27" t="s">
        <v>75</v>
      </c>
      <c r="Q1757" s="27" t="s">
        <v>361</v>
      </c>
      <c r="R1757" s="33">
        <v>30305</v>
      </c>
      <c r="S1757" s="34">
        <v>42167</v>
      </c>
      <c r="T1757" s="34">
        <v>42169</v>
      </c>
      <c r="U1757" s="29">
        <v>-247.55157</v>
      </c>
      <c r="V1757" s="26">
        <v>4</v>
      </c>
      <c r="W1757" s="29">
        <v>605.82000000000005</v>
      </c>
      <c r="X1757" s="26">
        <v>12224</v>
      </c>
      <c r="Y1757" s="35">
        <v>35.89</v>
      </c>
      <c r="Z1757" s="1" t="s">
        <v>3011</v>
      </c>
      <c r="AA1757" s="36">
        <v>19.918399999999998</v>
      </c>
      <c r="AB1757" s="54">
        <v>224.1534</v>
      </c>
      <c r="AC1757" s="54">
        <v>95.416650000000004</v>
      </c>
      <c r="AD1757" s="36">
        <v>781.51317000000006</v>
      </c>
    </row>
    <row r="1758" spans="1:30" s="37" customFormat="1" ht="15.75" customHeight="1" x14ac:dyDescent="0.2">
      <c r="A1758" s="26">
        <v>62</v>
      </c>
      <c r="B1758" s="27" t="s">
        <v>2467</v>
      </c>
      <c r="C1758" s="27" t="s">
        <v>38</v>
      </c>
      <c r="D1758" s="28">
        <v>0.04</v>
      </c>
      <c r="E1758" s="29">
        <v>29.14</v>
      </c>
      <c r="F1758" s="29">
        <v>4.8600000000000003</v>
      </c>
      <c r="G1758" s="30" t="s">
        <v>39</v>
      </c>
      <c r="H1758" s="27" t="s">
        <v>94</v>
      </c>
      <c r="I1758" s="27" t="s">
        <v>49</v>
      </c>
      <c r="J1758" s="27" t="s">
        <v>88</v>
      </c>
      <c r="K1758" s="27" t="s">
        <v>51</v>
      </c>
      <c r="L1758" s="31" t="s">
        <v>2836</v>
      </c>
      <c r="M1758" s="32">
        <v>0.38</v>
      </c>
      <c r="N1758" s="27" t="s">
        <v>33</v>
      </c>
      <c r="O1758" s="27" t="s">
        <v>53</v>
      </c>
      <c r="P1758" s="27" t="s">
        <v>187</v>
      </c>
      <c r="Q1758" s="27" t="s">
        <v>2469</v>
      </c>
      <c r="R1758" s="33">
        <v>78664</v>
      </c>
      <c r="S1758" s="34">
        <v>42167</v>
      </c>
      <c r="T1758" s="34">
        <v>42169</v>
      </c>
      <c r="U1758" s="29">
        <v>349.40910000000002</v>
      </c>
      <c r="V1758" s="26">
        <v>17</v>
      </c>
      <c r="W1758" s="29">
        <v>506.39</v>
      </c>
      <c r="X1758" s="26">
        <v>87408</v>
      </c>
      <c r="Y1758" s="35">
        <v>124.44999999999999</v>
      </c>
      <c r="Z1758" s="1" t="s">
        <v>3012</v>
      </c>
      <c r="AA1758" s="36">
        <v>19.815200000000001</v>
      </c>
      <c r="AB1758" s="54">
        <v>313.96179999999998</v>
      </c>
      <c r="AC1758" s="54">
        <v>11.319305882352941</v>
      </c>
      <c r="AD1758" s="36">
        <v>132.30569999999994</v>
      </c>
    </row>
    <row r="1759" spans="1:30" s="37" customFormat="1" ht="15.75" customHeight="1" x14ac:dyDescent="0.2">
      <c r="A1759" s="26">
        <v>1469</v>
      </c>
      <c r="B1759" s="27" t="s">
        <v>2845</v>
      </c>
      <c r="C1759" s="27" t="s">
        <v>48</v>
      </c>
      <c r="D1759" s="28">
        <v>7.0000000000000007E-2</v>
      </c>
      <c r="E1759" s="29">
        <v>31.76</v>
      </c>
      <c r="F1759" s="29">
        <v>45.51</v>
      </c>
      <c r="G1759" s="30" t="s">
        <v>27</v>
      </c>
      <c r="H1759" s="27" t="s">
        <v>3095</v>
      </c>
      <c r="I1759" s="27" t="s">
        <v>29</v>
      </c>
      <c r="J1759" s="27" t="s">
        <v>30</v>
      </c>
      <c r="K1759" s="27" t="s">
        <v>31</v>
      </c>
      <c r="L1759" s="31" t="s">
        <v>666</v>
      </c>
      <c r="M1759" s="32">
        <v>0.65</v>
      </c>
      <c r="N1759" s="27" t="s">
        <v>33</v>
      </c>
      <c r="O1759" s="27" t="s">
        <v>60</v>
      </c>
      <c r="P1759" s="27" t="s">
        <v>146</v>
      </c>
      <c r="Q1759" s="27" t="s">
        <v>2846</v>
      </c>
      <c r="R1759" s="33">
        <v>84015</v>
      </c>
      <c r="S1759" s="34">
        <v>42167</v>
      </c>
      <c r="T1759" s="34">
        <v>42169</v>
      </c>
      <c r="U1759" s="29">
        <v>-1314.992</v>
      </c>
      <c r="V1759" s="26">
        <v>18</v>
      </c>
      <c r="W1759" s="29">
        <v>439.27</v>
      </c>
      <c r="X1759" s="26">
        <v>91116</v>
      </c>
      <c r="Y1759" s="35">
        <v>55.48</v>
      </c>
      <c r="Z1759" s="1" t="s">
        <v>3013</v>
      </c>
      <c r="AA1759" s="36">
        <v>40.017600000000002</v>
      </c>
      <c r="AB1759" s="54">
        <v>153.74449999999999</v>
      </c>
      <c r="AC1759" s="54">
        <v>15.862527777777776</v>
      </c>
      <c r="AD1759" s="36">
        <v>1668.7344000000001</v>
      </c>
    </row>
    <row r="1760" spans="1:30" s="37" customFormat="1" ht="15.75" customHeight="1" x14ac:dyDescent="0.2">
      <c r="A1760" s="26">
        <v>3179</v>
      </c>
      <c r="B1760" s="27" t="s">
        <v>2847</v>
      </c>
      <c r="C1760" s="27" t="s">
        <v>48</v>
      </c>
      <c r="D1760" s="28">
        <v>7.0000000000000007E-2</v>
      </c>
      <c r="E1760" s="29">
        <v>35.44</v>
      </c>
      <c r="F1760" s="29">
        <v>7.5</v>
      </c>
      <c r="G1760" s="30" t="s">
        <v>39</v>
      </c>
      <c r="H1760" s="27" t="s">
        <v>94</v>
      </c>
      <c r="I1760" s="27" t="s">
        <v>49</v>
      </c>
      <c r="J1760" s="27" t="s">
        <v>88</v>
      </c>
      <c r="K1760" s="27" t="s">
        <v>73</v>
      </c>
      <c r="L1760" s="31" t="s">
        <v>567</v>
      </c>
      <c r="M1760" s="32">
        <v>0.38</v>
      </c>
      <c r="N1760" s="27" t="s">
        <v>33</v>
      </c>
      <c r="O1760" s="27" t="s">
        <v>53</v>
      </c>
      <c r="P1760" s="27" t="s">
        <v>84</v>
      </c>
      <c r="Q1760" s="27" t="s">
        <v>2848</v>
      </c>
      <c r="R1760" s="33">
        <v>55060</v>
      </c>
      <c r="S1760" s="34">
        <v>42167</v>
      </c>
      <c r="T1760" s="34">
        <v>42174</v>
      </c>
      <c r="U1760" s="29">
        <v>262.2</v>
      </c>
      <c r="V1760" s="26">
        <v>11</v>
      </c>
      <c r="W1760" s="29">
        <v>380</v>
      </c>
      <c r="X1760" s="26">
        <v>86989</v>
      </c>
      <c r="Y1760" s="35">
        <v>6.62</v>
      </c>
      <c r="Z1760" s="1" t="s">
        <v>3012</v>
      </c>
      <c r="AA1760" s="36">
        <v>27.288799999999998</v>
      </c>
      <c r="AB1760" s="54">
        <v>235.6</v>
      </c>
      <c r="AC1760" s="54">
        <v>13.127272727272729</v>
      </c>
      <c r="AD1760" s="36">
        <v>83.011200000000031</v>
      </c>
    </row>
    <row r="1761" spans="1:30" s="37" customFormat="1" ht="15.75" customHeight="1" x14ac:dyDescent="0.2">
      <c r="A1761" s="26">
        <v>1748</v>
      </c>
      <c r="B1761" s="27" t="s">
        <v>2841</v>
      </c>
      <c r="C1761" s="27" t="s">
        <v>38</v>
      </c>
      <c r="D1761" s="28">
        <v>0.04</v>
      </c>
      <c r="E1761" s="29">
        <v>124.49</v>
      </c>
      <c r="F1761" s="29">
        <v>51.94</v>
      </c>
      <c r="G1761" s="30" t="s">
        <v>27</v>
      </c>
      <c r="H1761" s="27" t="s">
        <v>40</v>
      </c>
      <c r="I1761" s="27" t="s">
        <v>29</v>
      </c>
      <c r="J1761" s="27" t="s">
        <v>30</v>
      </c>
      <c r="K1761" s="27" t="s">
        <v>31</v>
      </c>
      <c r="L1761" s="31" t="s">
        <v>1149</v>
      </c>
      <c r="M1761" s="32">
        <v>0.63</v>
      </c>
      <c r="N1761" s="27" t="s">
        <v>33</v>
      </c>
      <c r="O1761" s="27" t="s">
        <v>53</v>
      </c>
      <c r="P1761" s="27" t="s">
        <v>207</v>
      </c>
      <c r="Q1761" s="27" t="s">
        <v>2842</v>
      </c>
      <c r="R1761" s="33">
        <v>73703</v>
      </c>
      <c r="S1761" s="34">
        <v>42167</v>
      </c>
      <c r="T1761" s="34">
        <v>42169</v>
      </c>
      <c r="U1761" s="29">
        <v>-93.064499999999995</v>
      </c>
      <c r="V1761" s="26">
        <v>1</v>
      </c>
      <c r="W1761" s="29">
        <v>151.46</v>
      </c>
      <c r="X1761" s="26">
        <v>87245</v>
      </c>
      <c r="Y1761" s="35">
        <v>130.94</v>
      </c>
      <c r="Z1761" s="1" t="s">
        <v>3012</v>
      </c>
      <c r="AA1761" s="36">
        <v>4.9795999999999996</v>
      </c>
      <c r="AB1761" s="54">
        <v>56.040200000000006</v>
      </c>
      <c r="AC1761" s="54">
        <v>95.419800000000009</v>
      </c>
      <c r="AD1761" s="36">
        <v>187.60490000000001</v>
      </c>
    </row>
    <row r="1762" spans="1:30" s="37" customFormat="1" ht="15.75" customHeight="1" x14ac:dyDescent="0.2">
      <c r="A1762" s="26">
        <v>387</v>
      </c>
      <c r="B1762" s="27" t="s">
        <v>2837</v>
      </c>
      <c r="C1762" s="27" t="s">
        <v>38</v>
      </c>
      <c r="D1762" s="28">
        <v>0.1</v>
      </c>
      <c r="E1762" s="29">
        <v>8.8800000000000008</v>
      </c>
      <c r="F1762" s="29">
        <v>6.28</v>
      </c>
      <c r="G1762" s="30" t="s">
        <v>87</v>
      </c>
      <c r="H1762" s="27" t="s">
        <v>94</v>
      </c>
      <c r="I1762" s="27" t="s">
        <v>49</v>
      </c>
      <c r="J1762" s="27" t="s">
        <v>72</v>
      </c>
      <c r="K1762" s="27" t="s">
        <v>73</v>
      </c>
      <c r="L1762" s="31" t="s">
        <v>220</v>
      </c>
      <c r="M1762" s="32">
        <v>0.35</v>
      </c>
      <c r="N1762" s="27" t="s">
        <v>33</v>
      </c>
      <c r="O1762" s="27" t="s">
        <v>53</v>
      </c>
      <c r="P1762" s="27" t="s">
        <v>133</v>
      </c>
      <c r="Q1762" s="27" t="s">
        <v>2838</v>
      </c>
      <c r="R1762" s="33">
        <v>68801</v>
      </c>
      <c r="S1762" s="34">
        <v>42167</v>
      </c>
      <c r="T1762" s="34">
        <v>42169</v>
      </c>
      <c r="U1762" s="29">
        <v>-27.283750000000001</v>
      </c>
      <c r="V1762" s="26">
        <v>15</v>
      </c>
      <c r="W1762" s="29">
        <v>126.9</v>
      </c>
      <c r="X1762" s="26">
        <v>90339</v>
      </c>
      <c r="Y1762" s="35">
        <v>105.25</v>
      </c>
      <c r="Z1762" s="1" t="s">
        <v>3012</v>
      </c>
      <c r="AA1762" s="36">
        <v>13.320000000000002</v>
      </c>
      <c r="AB1762" s="54">
        <v>82.484999999999999</v>
      </c>
      <c r="AC1762" s="54">
        <v>2.9610000000000003</v>
      </c>
      <c r="AD1762" s="36">
        <v>134.58375000000001</v>
      </c>
    </row>
    <row r="1763" spans="1:30" s="37" customFormat="1" ht="15.75" customHeight="1" x14ac:dyDescent="0.2">
      <c r="A1763" s="26">
        <v>550</v>
      </c>
      <c r="B1763" s="27" t="s">
        <v>872</v>
      </c>
      <c r="C1763" s="27" t="s">
        <v>116</v>
      </c>
      <c r="D1763" s="28">
        <v>0.08</v>
      </c>
      <c r="E1763" s="29">
        <v>115.99</v>
      </c>
      <c r="F1763" s="29">
        <v>5.99</v>
      </c>
      <c r="G1763" s="30" t="s">
        <v>87</v>
      </c>
      <c r="H1763" s="27" t="s">
        <v>94</v>
      </c>
      <c r="I1763" s="27" t="s">
        <v>41</v>
      </c>
      <c r="J1763" s="27" t="s">
        <v>135</v>
      </c>
      <c r="K1763" s="27" t="s">
        <v>73</v>
      </c>
      <c r="L1763" s="31" t="s">
        <v>2849</v>
      </c>
      <c r="M1763" s="32">
        <v>0.56999999999999995</v>
      </c>
      <c r="N1763" s="27" t="s">
        <v>33</v>
      </c>
      <c r="O1763" s="27" t="s">
        <v>53</v>
      </c>
      <c r="P1763" s="27" t="s">
        <v>187</v>
      </c>
      <c r="Q1763" s="27" t="s">
        <v>873</v>
      </c>
      <c r="R1763" s="33">
        <v>78155</v>
      </c>
      <c r="S1763" s="34">
        <v>42167</v>
      </c>
      <c r="T1763" s="34">
        <v>42168</v>
      </c>
      <c r="U1763" s="29">
        <v>-239.54150000000001</v>
      </c>
      <c r="V1763" s="26">
        <v>1</v>
      </c>
      <c r="W1763" s="29">
        <v>102.21</v>
      </c>
      <c r="X1763" s="26">
        <v>90910</v>
      </c>
      <c r="Y1763" s="35">
        <v>31.69</v>
      </c>
      <c r="Z1763" s="1" t="s">
        <v>3012</v>
      </c>
      <c r="AA1763" s="36">
        <v>9.2791999999999994</v>
      </c>
      <c r="AB1763" s="54">
        <v>43.950300000000006</v>
      </c>
      <c r="AC1763" s="54">
        <v>58.259699999999988</v>
      </c>
      <c r="AD1763" s="36">
        <v>326.48230000000001</v>
      </c>
    </row>
    <row r="1764" spans="1:30" s="37" customFormat="1" ht="15.75" customHeight="1" x14ac:dyDescent="0.2">
      <c r="A1764" s="26">
        <v>2257</v>
      </c>
      <c r="B1764" s="27" t="s">
        <v>2843</v>
      </c>
      <c r="C1764" s="27" t="s">
        <v>38</v>
      </c>
      <c r="D1764" s="28">
        <v>0.06</v>
      </c>
      <c r="E1764" s="29">
        <v>6.68</v>
      </c>
      <c r="F1764" s="29">
        <v>6.93</v>
      </c>
      <c r="G1764" s="30" t="s">
        <v>39</v>
      </c>
      <c r="H1764" s="27" t="s">
        <v>94</v>
      </c>
      <c r="I1764" s="27" t="s">
        <v>49</v>
      </c>
      <c r="J1764" s="27" t="s">
        <v>88</v>
      </c>
      <c r="K1764" s="27" t="s">
        <v>73</v>
      </c>
      <c r="L1764" s="31" t="s">
        <v>976</v>
      </c>
      <c r="M1764" s="32">
        <v>0.37</v>
      </c>
      <c r="N1764" s="27" t="s">
        <v>33</v>
      </c>
      <c r="O1764" s="27" t="s">
        <v>34</v>
      </c>
      <c r="P1764" s="27" t="s">
        <v>97</v>
      </c>
      <c r="Q1764" s="27" t="s">
        <v>2844</v>
      </c>
      <c r="R1764" s="33">
        <v>27604</v>
      </c>
      <c r="S1764" s="34">
        <v>42167</v>
      </c>
      <c r="T1764" s="34">
        <v>42168</v>
      </c>
      <c r="U1764" s="29">
        <v>7.6245000000000003</v>
      </c>
      <c r="V1764" s="26">
        <v>14</v>
      </c>
      <c r="W1764" s="29">
        <v>91.92</v>
      </c>
      <c r="X1764" s="26">
        <v>87965</v>
      </c>
      <c r="Y1764" s="35">
        <v>35.369999999999997</v>
      </c>
      <c r="Z1764" s="1" t="s">
        <v>3011</v>
      </c>
      <c r="AA1764" s="36">
        <v>5.6112000000000002</v>
      </c>
      <c r="AB1764" s="54">
        <v>57.909600000000005</v>
      </c>
      <c r="AC1764" s="54">
        <v>2.4293142857142858</v>
      </c>
      <c r="AD1764" s="36">
        <v>71.754300000000001</v>
      </c>
    </row>
    <row r="1765" spans="1:30" s="37" customFormat="1" ht="15.75" customHeight="1" x14ac:dyDescent="0.2">
      <c r="A1765" s="26">
        <v>2046</v>
      </c>
      <c r="B1765" s="27" t="s">
        <v>2832</v>
      </c>
      <c r="C1765" s="27" t="s">
        <v>26</v>
      </c>
      <c r="D1765" s="28">
        <v>0.04</v>
      </c>
      <c r="E1765" s="29">
        <v>4.28</v>
      </c>
      <c r="F1765" s="29">
        <v>5.68</v>
      </c>
      <c r="G1765" s="30" t="s">
        <v>39</v>
      </c>
      <c r="H1765" s="27" t="s">
        <v>94</v>
      </c>
      <c r="I1765" s="27" t="s">
        <v>49</v>
      </c>
      <c r="J1765" s="27" t="s">
        <v>88</v>
      </c>
      <c r="K1765" s="27" t="s">
        <v>73</v>
      </c>
      <c r="L1765" s="31" t="s">
        <v>2833</v>
      </c>
      <c r="M1765" s="32">
        <v>0.4</v>
      </c>
      <c r="N1765" s="27" t="s">
        <v>33</v>
      </c>
      <c r="O1765" s="27" t="s">
        <v>53</v>
      </c>
      <c r="P1765" s="27" t="s">
        <v>537</v>
      </c>
      <c r="Q1765" s="27" t="s">
        <v>2834</v>
      </c>
      <c r="R1765" s="33">
        <v>67901</v>
      </c>
      <c r="S1765" s="34">
        <v>42167</v>
      </c>
      <c r="T1765" s="34">
        <v>42169</v>
      </c>
      <c r="U1765" s="29">
        <v>-27.375</v>
      </c>
      <c r="V1765" s="26">
        <v>7</v>
      </c>
      <c r="W1765" s="29">
        <v>31.54</v>
      </c>
      <c r="X1765" s="26">
        <v>88219</v>
      </c>
      <c r="Y1765" s="35">
        <v>549.93000000000006</v>
      </c>
      <c r="Z1765" s="1" t="s">
        <v>3012</v>
      </c>
      <c r="AA1765" s="36">
        <v>1.1984000000000001</v>
      </c>
      <c r="AB1765" s="54">
        <v>18.923999999999999</v>
      </c>
      <c r="AC1765" s="54">
        <v>1.8022857142857143</v>
      </c>
      <c r="AD1765" s="36">
        <v>52.0366</v>
      </c>
    </row>
    <row r="1766" spans="1:30" s="37" customFormat="1" ht="15.75" customHeight="1" x14ac:dyDescent="0.2">
      <c r="A1766" s="26">
        <v>1016</v>
      </c>
      <c r="B1766" s="27" t="s">
        <v>2839</v>
      </c>
      <c r="C1766" s="27" t="s">
        <v>38</v>
      </c>
      <c r="D1766" s="28">
        <v>0.02</v>
      </c>
      <c r="E1766" s="29">
        <v>6.48</v>
      </c>
      <c r="F1766" s="29">
        <v>7.86</v>
      </c>
      <c r="G1766" s="30" t="s">
        <v>87</v>
      </c>
      <c r="H1766" s="27" t="s">
        <v>71</v>
      </c>
      <c r="I1766" s="27" t="s">
        <v>49</v>
      </c>
      <c r="J1766" s="27" t="s">
        <v>88</v>
      </c>
      <c r="K1766" s="27" t="s">
        <v>73</v>
      </c>
      <c r="L1766" s="31" t="s">
        <v>860</v>
      </c>
      <c r="M1766" s="32">
        <v>0.37</v>
      </c>
      <c r="N1766" s="27" t="s">
        <v>33</v>
      </c>
      <c r="O1766" s="27" t="s">
        <v>34</v>
      </c>
      <c r="P1766" s="27" t="s">
        <v>97</v>
      </c>
      <c r="Q1766" s="27" t="s">
        <v>2840</v>
      </c>
      <c r="R1766" s="33">
        <v>28806</v>
      </c>
      <c r="S1766" s="34">
        <v>42167</v>
      </c>
      <c r="T1766" s="34">
        <v>42168</v>
      </c>
      <c r="U1766" s="29">
        <v>111.22199999999999</v>
      </c>
      <c r="V1766" s="26">
        <v>1</v>
      </c>
      <c r="W1766" s="29">
        <v>11.41</v>
      </c>
      <c r="X1766" s="26">
        <v>88389</v>
      </c>
      <c r="Y1766" s="35">
        <v>115.91</v>
      </c>
      <c r="Z1766" s="1" t="s">
        <v>3011</v>
      </c>
      <c r="AA1766" s="36">
        <v>0.12960000000000002</v>
      </c>
      <c r="AB1766" s="54">
        <v>7.1882999999999999</v>
      </c>
      <c r="AC1766" s="54">
        <v>4.2217000000000002</v>
      </c>
      <c r="AD1766" s="36">
        <v>-107.80159999999999</v>
      </c>
    </row>
    <row r="1767" spans="1:30" s="37" customFormat="1" ht="15.75" customHeight="1" x14ac:dyDescent="0.2">
      <c r="A1767" s="26">
        <v>5</v>
      </c>
      <c r="B1767" s="27" t="s">
        <v>2858</v>
      </c>
      <c r="C1767" s="27" t="s">
        <v>3094</v>
      </c>
      <c r="D1767" s="28">
        <v>0.02</v>
      </c>
      <c r="E1767" s="29">
        <v>500.98</v>
      </c>
      <c r="F1767" s="29">
        <v>26</v>
      </c>
      <c r="G1767" s="30" t="s">
        <v>27</v>
      </c>
      <c r="H1767" s="27" t="s">
        <v>71</v>
      </c>
      <c r="I1767" s="27" t="s">
        <v>29</v>
      </c>
      <c r="J1767" s="27" t="s">
        <v>109</v>
      </c>
      <c r="K1767" s="27" t="s">
        <v>58</v>
      </c>
      <c r="L1767" s="31" t="s">
        <v>2296</v>
      </c>
      <c r="M1767" s="32">
        <v>0.6</v>
      </c>
      <c r="N1767" s="27" t="s">
        <v>33</v>
      </c>
      <c r="O1767" s="27" t="s">
        <v>60</v>
      </c>
      <c r="P1767" s="27" t="s">
        <v>90</v>
      </c>
      <c r="Q1767" s="27" t="s">
        <v>2216</v>
      </c>
      <c r="R1767" s="33">
        <v>91776</v>
      </c>
      <c r="S1767" s="34">
        <v>42168</v>
      </c>
      <c r="T1767" s="34">
        <v>42170</v>
      </c>
      <c r="U1767" s="29">
        <v>4390.3665000000001</v>
      </c>
      <c r="V1767" s="26">
        <v>12</v>
      </c>
      <c r="W1767" s="29">
        <v>6362.85</v>
      </c>
      <c r="X1767" s="26">
        <v>90193</v>
      </c>
      <c r="Y1767" s="35">
        <v>4.8500000000000005</v>
      </c>
      <c r="Z1767" s="1" t="s">
        <v>3013</v>
      </c>
      <c r="AA1767" s="36">
        <v>120.23520000000001</v>
      </c>
      <c r="AB1767" s="54">
        <v>2545.1400000000003</v>
      </c>
      <c r="AC1767" s="54">
        <v>318.14250000000004</v>
      </c>
      <c r="AD1767" s="36">
        <v>1826.2483000000002</v>
      </c>
    </row>
    <row r="1768" spans="1:30" s="37" customFormat="1" ht="15.75" customHeight="1" x14ac:dyDescent="0.2">
      <c r="A1768" s="26">
        <v>1129</v>
      </c>
      <c r="B1768" s="27" t="s">
        <v>786</v>
      </c>
      <c r="C1768" s="27" t="s">
        <v>48</v>
      </c>
      <c r="D1768" s="28">
        <v>0.03</v>
      </c>
      <c r="E1768" s="29">
        <v>30.98</v>
      </c>
      <c r="F1768" s="29">
        <v>6.5</v>
      </c>
      <c r="G1768" s="30" t="s">
        <v>39</v>
      </c>
      <c r="H1768" s="27" t="s">
        <v>94</v>
      </c>
      <c r="I1768" s="27" t="s">
        <v>41</v>
      </c>
      <c r="J1768" s="27" t="s">
        <v>42</v>
      </c>
      <c r="K1768" s="27" t="s">
        <v>73</v>
      </c>
      <c r="L1768" s="31" t="s">
        <v>2855</v>
      </c>
      <c r="M1768" s="32">
        <v>0.79</v>
      </c>
      <c r="N1768" s="27" t="s">
        <v>33</v>
      </c>
      <c r="O1768" s="27" t="s">
        <v>111</v>
      </c>
      <c r="P1768" s="27" t="s">
        <v>403</v>
      </c>
      <c r="Q1768" s="27" t="s">
        <v>788</v>
      </c>
      <c r="R1768" s="33">
        <v>2118</v>
      </c>
      <c r="S1768" s="34">
        <v>42168</v>
      </c>
      <c r="T1768" s="34">
        <v>42172</v>
      </c>
      <c r="U1768" s="29">
        <v>-144.19999999999999</v>
      </c>
      <c r="V1768" s="26">
        <v>44</v>
      </c>
      <c r="W1768" s="29">
        <v>1332.09</v>
      </c>
      <c r="X1768" s="26">
        <v>39430</v>
      </c>
      <c r="Y1768" s="35">
        <v>48.87</v>
      </c>
      <c r="Z1768" s="1" t="s">
        <v>3014</v>
      </c>
      <c r="AA1768" s="36">
        <v>40.893599999999999</v>
      </c>
      <c r="AB1768" s="54">
        <v>279.73889999999994</v>
      </c>
      <c r="AC1768" s="54">
        <v>23.917070454545456</v>
      </c>
      <c r="AD1768" s="36">
        <v>1428.8963999999999</v>
      </c>
    </row>
    <row r="1769" spans="1:30" s="37" customFormat="1" ht="15.75" customHeight="1" x14ac:dyDescent="0.2">
      <c r="A1769" s="26">
        <v>3230</v>
      </c>
      <c r="B1769" s="27" t="s">
        <v>700</v>
      </c>
      <c r="C1769" s="27" t="s">
        <v>26</v>
      </c>
      <c r="D1769" s="28">
        <v>7.0000000000000007E-2</v>
      </c>
      <c r="E1769" s="29">
        <v>48.94</v>
      </c>
      <c r="F1769" s="29">
        <v>5.86</v>
      </c>
      <c r="G1769" s="30" t="s">
        <v>87</v>
      </c>
      <c r="H1769" s="27" t="s">
        <v>3095</v>
      </c>
      <c r="I1769" s="27" t="s">
        <v>49</v>
      </c>
      <c r="J1769" s="27" t="s">
        <v>88</v>
      </c>
      <c r="K1769" s="27" t="s">
        <v>73</v>
      </c>
      <c r="L1769" s="31" t="s">
        <v>2850</v>
      </c>
      <c r="M1769" s="32">
        <v>0.35</v>
      </c>
      <c r="N1769" s="27" t="s">
        <v>33</v>
      </c>
      <c r="O1769" s="27" t="s">
        <v>53</v>
      </c>
      <c r="P1769" s="27" t="s">
        <v>357</v>
      </c>
      <c r="Q1769" s="27" t="s">
        <v>702</v>
      </c>
      <c r="R1769" s="33">
        <v>53186</v>
      </c>
      <c r="S1769" s="34">
        <v>42168</v>
      </c>
      <c r="T1769" s="34">
        <v>42169</v>
      </c>
      <c r="U1769" s="29">
        <v>690.7038</v>
      </c>
      <c r="V1769" s="26">
        <v>21</v>
      </c>
      <c r="W1769" s="29">
        <v>1001.02</v>
      </c>
      <c r="X1769" s="26">
        <v>87436</v>
      </c>
      <c r="Y1769" s="35">
        <v>17.07</v>
      </c>
      <c r="Z1769" s="1" t="s">
        <v>3012</v>
      </c>
      <c r="AA1769" s="36">
        <v>71.941800000000001</v>
      </c>
      <c r="AB1769" s="54">
        <v>650.66300000000001</v>
      </c>
      <c r="AC1769" s="54">
        <v>16.683666666666667</v>
      </c>
      <c r="AD1769" s="36">
        <v>232.51440000000002</v>
      </c>
    </row>
    <row r="1770" spans="1:30" s="37" customFormat="1" ht="15.75" customHeight="1" x14ac:dyDescent="0.2">
      <c r="A1770" s="26">
        <v>2771</v>
      </c>
      <c r="B1770" s="27" t="s">
        <v>2852</v>
      </c>
      <c r="C1770" s="27" t="s">
        <v>38</v>
      </c>
      <c r="D1770" s="28">
        <v>7.0000000000000007E-2</v>
      </c>
      <c r="E1770" s="29">
        <v>177.98</v>
      </c>
      <c r="F1770" s="29">
        <v>0.99</v>
      </c>
      <c r="G1770" s="30" t="s">
        <v>39</v>
      </c>
      <c r="H1770" s="27" t="s">
        <v>94</v>
      </c>
      <c r="I1770" s="27" t="s">
        <v>49</v>
      </c>
      <c r="J1770" s="27" t="s">
        <v>95</v>
      </c>
      <c r="K1770" s="27" t="s">
        <v>73</v>
      </c>
      <c r="L1770" s="31" t="s">
        <v>2853</v>
      </c>
      <c r="M1770" s="32">
        <v>0.56000000000000005</v>
      </c>
      <c r="N1770" s="27" t="s">
        <v>33</v>
      </c>
      <c r="O1770" s="27" t="s">
        <v>34</v>
      </c>
      <c r="P1770" s="27" t="s">
        <v>75</v>
      </c>
      <c r="Q1770" s="27" t="s">
        <v>2854</v>
      </c>
      <c r="R1770" s="33">
        <v>30344</v>
      </c>
      <c r="S1770" s="34">
        <v>42168</v>
      </c>
      <c r="T1770" s="34">
        <v>42168</v>
      </c>
      <c r="U1770" s="29">
        <v>-191.548</v>
      </c>
      <c r="V1770" s="26">
        <v>3</v>
      </c>
      <c r="W1770" s="29">
        <v>536.29</v>
      </c>
      <c r="X1770" s="26">
        <v>88974</v>
      </c>
      <c r="Y1770" s="35">
        <v>177.91</v>
      </c>
      <c r="Z1770" s="1" t="s">
        <v>3011</v>
      </c>
      <c r="AA1770" s="36">
        <v>37.375799999999998</v>
      </c>
      <c r="AB1770" s="54">
        <v>235.96759999999995</v>
      </c>
      <c r="AC1770" s="54">
        <v>100.10746666666667</v>
      </c>
      <c r="AD1770" s="36">
        <v>689.47219999999993</v>
      </c>
    </row>
    <row r="1771" spans="1:30" s="37" customFormat="1" ht="15.75" customHeight="1" x14ac:dyDescent="0.2">
      <c r="A1771" s="26">
        <v>1505</v>
      </c>
      <c r="B1771" s="27" t="s">
        <v>2856</v>
      </c>
      <c r="C1771" s="27" t="s">
        <v>48</v>
      </c>
      <c r="D1771" s="28">
        <v>0</v>
      </c>
      <c r="E1771" s="29">
        <v>85.99</v>
      </c>
      <c r="F1771" s="29">
        <v>0.99</v>
      </c>
      <c r="G1771" s="30" t="s">
        <v>39</v>
      </c>
      <c r="H1771" s="27" t="s">
        <v>3095</v>
      </c>
      <c r="I1771" s="27" t="s">
        <v>41</v>
      </c>
      <c r="J1771" s="27" t="s">
        <v>135</v>
      </c>
      <c r="K1771" s="27" t="s">
        <v>51</v>
      </c>
      <c r="L1771" s="31" t="s">
        <v>1596</v>
      </c>
      <c r="M1771" s="32">
        <v>0.85</v>
      </c>
      <c r="N1771" s="27" t="s">
        <v>33</v>
      </c>
      <c r="O1771" s="27" t="s">
        <v>53</v>
      </c>
      <c r="P1771" s="27" t="s">
        <v>187</v>
      </c>
      <c r="Q1771" s="27" t="s">
        <v>2857</v>
      </c>
      <c r="R1771" s="33">
        <v>77840</v>
      </c>
      <c r="S1771" s="34">
        <v>42168</v>
      </c>
      <c r="T1771" s="34">
        <v>42173</v>
      </c>
      <c r="U1771" s="29">
        <v>-138.0368</v>
      </c>
      <c r="V1771" s="26">
        <v>6</v>
      </c>
      <c r="W1771" s="29">
        <v>464.86</v>
      </c>
      <c r="X1771" s="26">
        <v>86181</v>
      </c>
      <c r="Y1771" s="35">
        <v>30.95</v>
      </c>
      <c r="Z1771" s="1" t="s">
        <v>3012</v>
      </c>
      <c r="AA1771" s="36">
        <v>0</v>
      </c>
      <c r="AB1771" s="54">
        <v>69.729000000000013</v>
      </c>
      <c r="AC1771" s="54">
        <v>65.855166666666676</v>
      </c>
      <c r="AD1771" s="36">
        <v>601.90679999999998</v>
      </c>
    </row>
    <row r="1772" spans="1:30" s="37" customFormat="1" ht="15.75" customHeight="1" x14ac:dyDescent="0.2">
      <c r="A1772" s="26">
        <v>1132</v>
      </c>
      <c r="B1772" s="27" t="s">
        <v>1093</v>
      </c>
      <c r="C1772" s="27" t="s">
        <v>48</v>
      </c>
      <c r="D1772" s="28">
        <v>0.03</v>
      </c>
      <c r="E1772" s="29">
        <v>30.98</v>
      </c>
      <c r="F1772" s="29">
        <v>6.5</v>
      </c>
      <c r="G1772" s="30" t="s">
        <v>39</v>
      </c>
      <c r="H1772" s="27" t="s">
        <v>94</v>
      </c>
      <c r="I1772" s="27" t="s">
        <v>41</v>
      </c>
      <c r="J1772" s="27" t="s">
        <v>42</v>
      </c>
      <c r="K1772" s="27" t="s">
        <v>73</v>
      </c>
      <c r="L1772" s="31" t="s">
        <v>2855</v>
      </c>
      <c r="M1772" s="32">
        <v>0.79</v>
      </c>
      <c r="N1772" s="27" t="s">
        <v>33</v>
      </c>
      <c r="O1772" s="27" t="s">
        <v>53</v>
      </c>
      <c r="P1772" s="27" t="s">
        <v>187</v>
      </c>
      <c r="Q1772" s="27" t="s">
        <v>1094</v>
      </c>
      <c r="R1772" s="33">
        <v>76039</v>
      </c>
      <c r="S1772" s="34">
        <v>42168</v>
      </c>
      <c r="T1772" s="34">
        <v>42172</v>
      </c>
      <c r="U1772" s="29">
        <v>-115.36</v>
      </c>
      <c r="V1772" s="26">
        <v>11</v>
      </c>
      <c r="W1772" s="29">
        <v>333.02</v>
      </c>
      <c r="X1772" s="26">
        <v>88104</v>
      </c>
      <c r="Y1772" s="35">
        <v>30.95</v>
      </c>
      <c r="Z1772" s="1" t="s">
        <v>3012</v>
      </c>
      <c r="AA1772" s="36">
        <v>10.2234</v>
      </c>
      <c r="AB1772" s="54">
        <v>69.93419999999999</v>
      </c>
      <c r="AC1772" s="54">
        <v>23.91689090909091</v>
      </c>
      <c r="AD1772" s="36">
        <v>431.65659999999997</v>
      </c>
    </row>
    <row r="1773" spans="1:30" s="37" customFormat="1" ht="15.75" customHeight="1" x14ac:dyDescent="0.2">
      <c r="A1773" s="26">
        <v>2143</v>
      </c>
      <c r="B1773" s="27" t="s">
        <v>2851</v>
      </c>
      <c r="C1773" s="27" t="s">
        <v>38</v>
      </c>
      <c r="D1773" s="28">
        <v>0.08</v>
      </c>
      <c r="E1773" s="29">
        <v>17.149999999999999</v>
      </c>
      <c r="F1773" s="29">
        <v>4.96</v>
      </c>
      <c r="G1773" s="30" t="s">
        <v>39</v>
      </c>
      <c r="H1773" s="27" t="s">
        <v>71</v>
      </c>
      <c r="I1773" s="27" t="s">
        <v>49</v>
      </c>
      <c r="J1773" s="27" t="s">
        <v>78</v>
      </c>
      <c r="K1773" s="27" t="s">
        <v>73</v>
      </c>
      <c r="L1773" s="31" t="s">
        <v>650</v>
      </c>
      <c r="M1773" s="32">
        <v>0.57999999999999996</v>
      </c>
      <c r="N1773" s="27" t="s">
        <v>33</v>
      </c>
      <c r="O1773" s="27" t="s">
        <v>34</v>
      </c>
      <c r="P1773" s="27" t="s">
        <v>242</v>
      </c>
      <c r="Q1773" s="27" t="s">
        <v>261</v>
      </c>
      <c r="R1773" s="33">
        <v>20151</v>
      </c>
      <c r="S1773" s="34">
        <v>42168</v>
      </c>
      <c r="T1773" s="34">
        <v>42171</v>
      </c>
      <c r="U1773" s="29">
        <v>33.659999999999997</v>
      </c>
      <c r="V1773" s="26">
        <v>12</v>
      </c>
      <c r="W1773" s="29">
        <v>200.61</v>
      </c>
      <c r="X1773" s="26">
        <v>87569</v>
      </c>
      <c r="Y1773" s="35">
        <v>85.99</v>
      </c>
      <c r="Z1773" s="1" t="s">
        <v>3011</v>
      </c>
      <c r="AA1773" s="36">
        <v>16.463999999999999</v>
      </c>
      <c r="AB1773" s="54">
        <v>84.256200000000007</v>
      </c>
      <c r="AC1773" s="54">
        <v>9.6961499999999994</v>
      </c>
      <c r="AD1773" s="36">
        <v>145.52600000000001</v>
      </c>
    </row>
    <row r="1774" spans="1:30" s="37" customFormat="1" ht="15.75" customHeight="1" x14ac:dyDescent="0.2">
      <c r="A1774" s="26">
        <v>3230</v>
      </c>
      <c r="B1774" s="27" t="s">
        <v>700</v>
      </c>
      <c r="C1774" s="27" t="s">
        <v>26</v>
      </c>
      <c r="D1774" s="28">
        <v>0.06</v>
      </c>
      <c r="E1774" s="29">
        <v>4.91</v>
      </c>
      <c r="F1774" s="29">
        <v>5.68</v>
      </c>
      <c r="G1774" s="30" t="s">
        <v>87</v>
      </c>
      <c r="H1774" s="27" t="s">
        <v>3095</v>
      </c>
      <c r="I1774" s="27" t="s">
        <v>49</v>
      </c>
      <c r="J1774" s="27" t="s">
        <v>72</v>
      </c>
      <c r="K1774" s="27" t="s">
        <v>73</v>
      </c>
      <c r="L1774" s="31" t="s">
        <v>1933</v>
      </c>
      <c r="M1774" s="32">
        <v>0.36</v>
      </c>
      <c r="N1774" s="27" t="s">
        <v>33</v>
      </c>
      <c r="O1774" s="27" t="s">
        <v>53</v>
      </c>
      <c r="P1774" s="27" t="s">
        <v>357</v>
      </c>
      <c r="Q1774" s="27" t="s">
        <v>702</v>
      </c>
      <c r="R1774" s="33">
        <v>53186</v>
      </c>
      <c r="S1774" s="34">
        <v>42168</v>
      </c>
      <c r="T1774" s="34">
        <v>42168</v>
      </c>
      <c r="U1774" s="29">
        <v>-31.68825</v>
      </c>
      <c r="V1774" s="26">
        <v>10</v>
      </c>
      <c r="W1774" s="29">
        <v>53.89</v>
      </c>
      <c r="X1774" s="26">
        <v>87436</v>
      </c>
      <c r="Y1774" s="35">
        <v>500.96000000000004</v>
      </c>
      <c r="Z1774" s="1" t="s">
        <v>3012</v>
      </c>
      <c r="AA1774" s="36">
        <v>2.9459999999999997</v>
      </c>
      <c r="AB1774" s="54">
        <v>34.489600000000003</v>
      </c>
      <c r="AC1774" s="54">
        <v>1.94004</v>
      </c>
      <c r="AD1774" s="36">
        <v>76.952249999999992</v>
      </c>
    </row>
    <row r="1775" spans="1:30" s="37" customFormat="1" ht="15.75" customHeight="1" x14ac:dyDescent="0.2">
      <c r="A1775" s="26">
        <v>1044</v>
      </c>
      <c r="B1775" s="27" t="s">
        <v>1400</v>
      </c>
      <c r="C1775" s="27" t="s">
        <v>26</v>
      </c>
      <c r="D1775" s="28">
        <v>0.02</v>
      </c>
      <c r="E1775" s="29">
        <v>209.84</v>
      </c>
      <c r="F1775" s="29">
        <v>21.21</v>
      </c>
      <c r="G1775" s="30" t="s">
        <v>39</v>
      </c>
      <c r="H1775" s="27" t="s">
        <v>71</v>
      </c>
      <c r="I1775" s="27" t="s">
        <v>29</v>
      </c>
      <c r="J1775" s="27" t="s">
        <v>126</v>
      </c>
      <c r="K1775" s="27" t="s">
        <v>65</v>
      </c>
      <c r="L1775" s="31" t="s">
        <v>209</v>
      </c>
      <c r="M1775" s="32">
        <v>0.59</v>
      </c>
      <c r="N1775" s="27" t="s">
        <v>33</v>
      </c>
      <c r="O1775" s="27" t="s">
        <v>60</v>
      </c>
      <c r="P1775" s="27" t="s">
        <v>90</v>
      </c>
      <c r="Q1775" s="27" t="s">
        <v>100</v>
      </c>
      <c r="R1775" s="33">
        <v>90004</v>
      </c>
      <c r="S1775" s="34">
        <v>42169</v>
      </c>
      <c r="T1775" s="34">
        <v>42169</v>
      </c>
      <c r="U1775" s="29">
        <v>2593.14</v>
      </c>
      <c r="V1775" s="26">
        <v>62</v>
      </c>
      <c r="W1775" s="29">
        <v>13546.94</v>
      </c>
      <c r="X1775" s="26">
        <v>28001</v>
      </c>
      <c r="Y1775" s="35">
        <v>209.82</v>
      </c>
      <c r="Z1775" s="1" t="s">
        <v>3013</v>
      </c>
      <c r="AA1775" s="36">
        <v>260.20160000000004</v>
      </c>
      <c r="AB1775" s="54">
        <v>5554.2454000000007</v>
      </c>
      <c r="AC1775" s="54">
        <v>128.91442903225806</v>
      </c>
      <c r="AD1775" s="36">
        <v>10672.3884</v>
      </c>
    </row>
    <row r="1776" spans="1:30" s="37" customFormat="1" ht="15.75" customHeight="1" x14ac:dyDescent="0.2">
      <c r="A1776" s="26">
        <v>1044</v>
      </c>
      <c r="B1776" s="27" t="s">
        <v>1400</v>
      </c>
      <c r="C1776" s="27" t="s">
        <v>26</v>
      </c>
      <c r="D1776" s="28">
        <v>0.01</v>
      </c>
      <c r="E1776" s="29">
        <v>194.3</v>
      </c>
      <c r="F1776" s="29">
        <v>11.54</v>
      </c>
      <c r="G1776" s="30" t="s">
        <v>39</v>
      </c>
      <c r="H1776" s="27" t="s">
        <v>71</v>
      </c>
      <c r="I1776" s="27" t="s">
        <v>29</v>
      </c>
      <c r="J1776" s="27" t="s">
        <v>126</v>
      </c>
      <c r="K1776" s="27" t="s">
        <v>65</v>
      </c>
      <c r="L1776" s="31" t="s">
        <v>206</v>
      </c>
      <c r="M1776" s="32">
        <v>0.59</v>
      </c>
      <c r="N1776" s="27" t="s">
        <v>33</v>
      </c>
      <c r="O1776" s="27" t="s">
        <v>60</v>
      </c>
      <c r="P1776" s="27" t="s">
        <v>90</v>
      </c>
      <c r="Q1776" s="27" t="s">
        <v>100</v>
      </c>
      <c r="R1776" s="33">
        <v>90004</v>
      </c>
      <c r="S1776" s="34">
        <v>42169</v>
      </c>
      <c r="T1776" s="34">
        <v>42171</v>
      </c>
      <c r="U1776" s="29">
        <v>1162.76</v>
      </c>
      <c r="V1776" s="26">
        <v>32</v>
      </c>
      <c r="W1776" s="29">
        <v>6401.65</v>
      </c>
      <c r="X1776" s="26">
        <v>28001</v>
      </c>
      <c r="Y1776" s="35">
        <v>194.29000000000002</v>
      </c>
      <c r="Z1776" s="1" t="s">
        <v>3013</v>
      </c>
      <c r="AA1776" s="36">
        <v>62.176000000000002</v>
      </c>
      <c r="AB1776" s="54">
        <v>2624.6765</v>
      </c>
      <c r="AC1776" s="54">
        <v>118.03042187499999</v>
      </c>
      <c r="AD1776" s="36">
        <v>5165.174</v>
      </c>
    </row>
    <row r="1777" spans="1:30" s="37" customFormat="1" ht="15.75" customHeight="1" x14ac:dyDescent="0.2">
      <c r="A1777" s="26">
        <v>3120</v>
      </c>
      <c r="B1777" s="27" t="s">
        <v>2870</v>
      </c>
      <c r="C1777" s="27" t="s">
        <v>3094</v>
      </c>
      <c r="D1777" s="28">
        <v>0.08</v>
      </c>
      <c r="E1777" s="29">
        <v>315.98</v>
      </c>
      <c r="F1777" s="29">
        <v>19.989999999999998</v>
      </c>
      <c r="G1777" s="30" t="s">
        <v>39</v>
      </c>
      <c r="H1777" s="27" t="s">
        <v>71</v>
      </c>
      <c r="I1777" s="27" t="s">
        <v>49</v>
      </c>
      <c r="J1777" s="27" t="s">
        <v>72</v>
      </c>
      <c r="K1777" s="27" t="s">
        <v>73</v>
      </c>
      <c r="L1777" s="31" t="s">
        <v>2227</v>
      </c>
      <c r="M1777" s="32">
        <v>0.38</v>
      </c>
      <c r="N1777" s="27" t="s">
        <v>33</v>
      </c>
      <c r="O1777" s="27" t="s">
        <v>34</v>
      </c>
      <c r="P1777" s="27" t="s">
        <v>168</v>
      </c>
      <c r="Q1777" s="27" t="s">
        <v>2871</v>
      </c>
      <c r="R1777" s="33">
        <v>70117</v>
      </c>
      <c r="S1777" s="34">
        <v>42169</v>
      </c>
      <c r="T1777" s="34">
        <v>42169</v>
      </c>
      <c r="U1777" s="29">
        <v>44.52</v>
      </c>
      <c r="V1777" s="26">
        <v>9</v>
      </c>
      <c r="W1777" s="29">
        <v>2642.48</v>
      </c>
      <c r="X1777" s="26">
        <v>90160</v>
      </c>
      <c r="Y1777" s="35">
        <v>55.419999999999995</v>
      </c>
      <c r="Z1777" s="1" t="s">
        <v>3011</v>
      </c>
      <c r="AA1777" s="36">
        <v>227.50560000000002</v>
      </c>
      <c r="AB1777" s="54">
        <v>1638.3376000000001</v>
      </c>
      <c r="AC1777" s="54">
        <v>111.57137777777778</v>
      </c>
      <c r="AD1777" s="36">
        <v>2350.4643999999998</v>
      </c>
    </row>
    <row r="1778" spans="1:30" s="37" customFormat="1" ht="15.75" customHeight="1" x14ac:dyDescent="0.2">
      <c r="A1778" s="26">
        <v>1522</v>
      </c>
      <c r="B1778" s="27" t="s">
        <v>2861</v>
      </c>
      <c r="C1778" s="27" t="s">
        <v>26</v>
      </c>
      <c r="D1778" s="28">
        <v>0.1</v>
      </c>
      <c r="E1778" s="29">
        <v>122.99</v>
      </c>
      <c r="F1778" s="29">
        <v>70.2</v>
      </c>
      <c r="G1778" s="30" t="s">
        <v>27</v>
      </c>
      <c r="H1778" s="27" t="s">
        <v>40</v>
      </c>
      <c r="I1778" s="27" t="s">
        <v>29</v>
      </c>
      <c r="J1778" s="27" t="s">
        <v>109</v>
      </c>
      <c r="K1778" s="27" t="s">
        <v>58</v>
      </c>
      <c r="L1778" s="31" t="s">
        <v>804</v>
      </c>
      <c r="M1778" s="32">
        <v>0.74</v>
      </c>
      <c r="N1778" s="27" t="s">
        <v>33</v>
      </c>
      <c r="O1778" s="27" t="s">
        <v>53</v>
      </c>
      <c r="P1778" s="27" t="s">
        <v>84</v>
      </c>
      <c r="Q1778" s="27" t="s">
        <v>2862</v>
      </c>
      <c r="R1778" s="33">
        <v>55305</v>
      </c>
      <c r="S1778" s="34">
        <v>42169</v>
      </c>
      <c r="T1778" s="34">
        <v>42170</v>
      </c>
      <c r="U1778" s="29">
        <v>-899.67499999999995</v>
      </c>
      <c r="V1778" s="26">
        <v>17</v>
      </c>
      <c r="W1778" s="29">
        <v>2026.91</v>
      </c>
      <c r="X1778" s="26">
        <v>89957</v>
      </c>
      <c r="Y1778" s="35">
        <v>122.89</v>
      </c>
      <c r="Z1778" s="1" t="s">
        <v>3012</v>
      </c>
      <c r="AA1778" s="36">
        <v>209.083</v>
      </c>
      <c r="AB1778" s="54">
        <v>526.99660000000006</v>
      </c>
      <c r="AC1778" s="54">
        <v>88.230199999999996</v>
      </c>
      <c r="AD1778" s="36">
        <v>2647.3020000000001</v>
      </c>
    </row>
    <row r="1779" spans="1:30" s="37" customFormat="1" ht="15.75" customHeight="1" x14ac:dyDescent="0.2">
      <c r="A1779" s="26">
        <v>1519</v>
      </c>
      <c r="B1779" s="27" t="s">
        <v>2859</v>
      </c>
      <c r="C1779" s="27" t="s">
        <v>26</v>
      </c>
      <c r="D1779" s="28">
        <v>0.06</v>
      </c>
      <c r="E1779" s="29">
        <v>55.48</v>
      </c>
      <c r="F1779" s="29">
        <v>4.8499999999999996</v>
      </c>
      <c r="G1779" s="30" t="s">
        <v>39</v>
      </c>
      <c r="H1779" s="27" t="s">
        <v>40</v>
      </c>
      <c r="I1779" s="27" t="s">
        <v>49</v>
      </c>
      <c r="J1779" s="27" t="s">
        <v>88</v>
      </c>
      <c r="K1779" s="27" t="s">
        <v>73</v>
      </c>
      <c r="L1779" s="31" t="s">
        <v>2860</v>
      </c>
      <c r="M1779" s="32">
        <v>0.37</v>
      </c>
      <c r="N1779" s="27" t="s">
        <v>33</v>
      </c>
      <c r="O1779" s="27" t="s">
        <v>111</v>
      </c>
      <c r="P1779" s="27" t="s">
        <v>331</v>
      </c>
      <c r="Q1779" s="27" t="s">
        <v>1204</v>
      </c>
      <c r="R1779" s="33">
        <v>4210</v>
      </c>
      <c r="S1779" s="34">
        <v>42169</v>
      </c>
      <c r="T1779" s="34">
        <v>42169</v>
      </c>
      <c r="U1779" s="29">
        <v>711.05190000000005</v>
      </c>
      <c r="V1779" s="26">
        <v>19</v>
      </c>
      <c r="W1779" s="29">
        <v>1030.51</v>
      </c>
      <c r="X1779" s="26">
        <v>89957</v>
      </c>
      <c r="Y1779" s="35">
        <v>2.58</v>
      </c>
      <c r="Z1779" s="1" t="s">
        <v>3014</v>
      </c>
      <c r="AA1779" s="36">
        <v>63.247199999999992</v>
      </c>
      <c r="AB1779" s="54">
        <v>649.22130000000004</v>
      </c>
      <c r="AC1779" s="54">
        <v>20.067826315789471</v>
      </c>
      <c r="AD1779" s="36">
        <v>251.3608999999999</v>
      </c>
    </row>
    <row r="1780" spans="1:30" s="37" customFormat="1" ht="15.75" customHeight="1" x14ac:dyDescent="0.2">
      <c r="A1780" s="26">
        <v>1738</v>
      </c>
      <c r="B1780" s="27" t="s">
        <v>1901</v>
      </c>
      <c r="C1780" s="27" t="s">
        <v>48</v>
      </c>
      <c r="D1780" s="28">
        <v>0.04</v>
      </c>
      <c r="E1780" s="29">
        <v>35.44</v>
      </c>
      <c r="F1780" s="29">
        <v>19.989999999999998</v>
      </c>
      <c r="G1780" s="30" t="s">
        <v>39</v>
      </c>
      <c r="H1780" s="27" t="s">
        <v>94</v>
      </c>
      <c r="I1780" s="27" t="s">
        <v>49</v>
      </c>
      <c r="J1780" s="27" t="s">
        <v>88</v>
      </c>
      <c r="K1780" s="27" t="s">
        <v>73</v>
      </c>
      <c r="L1780" s="31" t="s">
        <v>2257</v>
      </c>
      <c r="M1780" s="32">
        <v>0.38</v>
      </c>
      <c r="N1780" s="27" t="s">
        <v>33</v>
      </c>
      <c r="O1780" s="27" t="s">
        <v>34</v>
      </c>
      <c r="P1780" s="27" t="s">
        <v>97</v>
      </c>
      <c r="Q1780" s="27" t="s">
        <v>1902</v>
      </c>
      <c r="R1780" s="33">
        <v>28052</v>
      </c>
      <c r="S1780" s="34">
        <v>42169</v>
      </c>
      <c r="T1780" s="34">
        <v>42176</v>
      </c>
      <c r="U1780" s="29">
        <v>-108.27249999999999</v>
      </c>
      <c r="V1780" s="26">
        <v>11</v>
      </c>
      <c r="W1780" s="29">
        <v>406.26</v>
      </c>
      <c r="X1780" s="26">
        <v>85868</v>
      </c>
      <c r="Y1780" s="35">
        <v>11.65</v>
      </c>
      <c r="Z1780" s="1" t="s">
        <v>3011</v>
      </c>
      <c r="AA1780" s="36">
        <v>15.5936</v>
      </c>
      <c r="AB1780" s="54">
        <v>251.88119999999998</v>
      </c>
      <c r="AC1780" s="54">
        <v>14.034436363636363</v>
      </c>
      <c r="AD1780" s="36">
        <v>478.94889999999998</v>
      </c>
    </row>
    <row r="1781" spans="1:30" s="37" customFormat="1" ht="15.75" customHeight="1" x14ac:dyDescent="0.2">
      <c r="A1781" s="26">
        <v>1775</v>
      </c>
      <c r="B1781" s="27" t="s">
        <v>2866</v>
      </c>
      <c r="C1781" s="27" t="s">
        <v>48</v>
      </c>
      <c r="D1781" s="28">
        <v>0.09</v>
      </c>
      <c r="E1781" s="29">
        <v>12.95</v>
      </c>
      <c r="F1781" s="29">
        <v>4.9800000000000004</v>
      </c>
      <c r="G1781" s="30" t="s">
        <v>39</v>
      </c>
      <c r="H1781" s="27" t="s">
        <v>40</v>
      </c>
      <c r="I1781" s="27" t="s">
        <v>49</v>
      </c>
      <c r="J1781" s="27" t="s">
        <v>72</v>
      </c>
      <c r="K1781" s="27" t="s">
        <v>73</v>
      </c>
      <c r="L1781" s="31" t="s">
        <v>2739</v>
      </c>
      <c r="M1781" s="32">
        <v>0.4</v>
      </c>
      <c r="N1781" s="27" t="s">
        <v>33</v>
      </c>
      <c r="O1781" s="27" t="s">
        <v>53</v>
      </c>
      <c r="P1781" s="27" t="s">
        <v>54</v>
      </c>
      <c r="Q1781" s="27" t="s">
        <v>2867</v>
      </c>
      <c r="R1781" s="33">
        <v>46614</v>
      </c>
      <c r="S1781" s="34">
        <v>42169</v>
      </c>
      <c r="T1781" s="34">
        <v>42176</v>
      </c>
      <c r="U1781" s="29">
        <v>123.89175</v>
      </c>
      <c r="V1781" s="26">
        <v>21</v>
      </c>
      <c r="W1781" s="29">
        <v>269.54000000000002</v>
      </c>
      <c r="X1781" s="26">
        <v>89944</v>
      </c>
      <c r="Y1781" s="35">
        <v>107.44</v>
      </c>
      <c r="Z1781" s="1" t="s">
        <v>3012</v>
      </c>
      <c r="AA1781" s="36">
        <v>24.4755</v>
      </c>
      <c r="AB1781" s="54">
        <v>161.72400000000002</v>
      </c>
      <c r="AC1781" s="54">
        <v>5.1340952380952389</v>
      </c>
      <c r="AD1781" s="36">
        <v>116.19275000000002</v>
      </c>
    </row>
    <row r="1782" spans="1:30" s="37" customFormat="1" ht="15.75" customHeight="1" x14ac:dyDescent="0.2">
      <c r="A1782" s="26">
        <v>3339</v>
      </c>
      <c r="B1782" s="27" t="s">
        <v>2863</v>
      </c>
      <c r="C1782" s="27" t="s">
        <v>38</v>
      </c>
      <c r="D1782" s="28">
        <v>0.01</v>
      </c>
      <c r="E1782" s="29">
        <v>11.66</v>
      </c>
      <c r="F1782" s="29">
        <v>7.95</v>
      </c>
      <c r="G1782" s="30" t="s">
        <v>39</v>
      </c>
      <c r="H1782" s="27" t="s">
        <v>40</v>
      </c>
      <c r="I1782" s="27" t="s">
        <v>49</v>
      </c>
      <c r="J1782" s="27" t="s">
        <v>50</v>
      </c>
      <c r="K1782" s="27" t="s">
        <v>43</v>
      </c>
      <c r="L1782" s="31" t="s">
        <v>2138</v>
      </c>
      <c r="M1782" s="32">
        <v>0.57999999999999996</v>
      </c>
      <c r="N1782" s="27" t="s">
        <v>33</v>
      </c>
      <c r="O1782" s="27" t="s">
        <v>34</v>
      </c>
      <c r="P1782" s="27" t="s">
        <v>123</v>
      </c>
      <c r="Q1782" s="27" t="s">
        <v>2864</v>
      </c>
      <c r="R1782" s="33">
        <v>32780</v>
      </c>
      <c r="S1782" s="34">
        <v>42169</v>
      </c>
      <c r="T1782" s="34">
        <v>42170</v>
      </c>
      <c r="U1782" s="29">
        <v>-10.368399999999999</v>
      </c>
      <c r="V1782" s="26">
        <v>16</v>
      </c>
      <c r="W1782" s="29">
        <v>193.87</v>
      </c>
      <c r="X1782" s="26">
        <v>85981</v>
      </c>
      <c r="Y1782" s="35">
        <v>35.4</v>
      </c>
      <c r="Z1782" s="1" t="s">
        <v>3011</v>
      </c>
      <c r="AA1782" s="36">
        <v>1.8656000000000001</v>
      </c>
      <c r="AB1782" s="54">
        <v>81.42540000000001</v>
      </c>
      <c r="AC1782" s="54">
        <v>7.0277874999999996</v>
      </c>
      <c r="AD1782" s="36">
        <v>194.4228</v>
      </c>
    </row>
    <row r="1783" spans="1:30" s="37" customFormat="1" ht="15.75" customHeight="1" x14ac:dyDescent="0.2">
      <c r="A1783" s="26">
        <v>1644</v>
      </c>
      <c r="B1783" s="27" t="s">
        <v>2865</v>
      </c>
      <c r="C1783" s="27" t="s">
        <v>48</v>
      </c>
      <c r="D1783" s="28">
        <v>0.09</v>
      </c>
      <c r="E1783" s="29">
        <v>107.53</v>
      </c>
      <c r="F1783" s="29">
        <v>5.81</v>
      </c>
      <c r="G1783" s="30" t="s">
        <v>39</v>
      </c>
      <c r="H1783" s="27" t="s">
        <v>3095</v>
      </c>
      <c r="I1783" s="27" t="s">
        <v>29</v>
      </c>
      <c r="J1783" s="27" t="s">
        <v>126</v>
      </c>
      <c r="K1783" s="27" t="s">
        <v>144</v>
      </c>
      <c r="L1783" s="31" t="s">
        <v>1495</v>
      </c>
      <c r="M1783" s="32">
        <v>0.65</v>
      </c>
      <c r="N1783" s="27" t="s">
        <v>33</v>
      </c>
      <c r="O1783" s="27" t="s">
        <v>53</v>
      </c>
      <c r="P1783" s="27" t="s">
        <v>187</v>
      </c>
      <c r="Q1783" s="27" t="s">
        <v>1131</v>
      </c>
      <c r="R1783" s="33">
        <v>77546</v>
      </c>
      <c r="S1783" s="34">
        <v>42169</v>
      </c>
      <c r="T1783" s="34">
        <v>42171</v>
      </c>
      <c r="U1783" s="29">
        <v>69.545100000000005</v>
      </c>
      <c r="V1783" s="26">
        <v>1</v>
      </c>
      <c r="W1783" s="29">
        <v>100.79</v>
      </c>
      <c r="X1783" s="26">
        <v>87342</v>
      </c>
      <c r="Y1783" s="35">
        <v>12.86</v>
      </c>
      <c r="Z1783" s="1" t="s">
        <v>3012</v>
      </c>
      <c r="AA1783" s="36">
        <v>9.6776999999999997</v>
      </c>
      <c r="AB1783" s="54">
        <v>35.276499999999999</v>
      </c>
      <c r="AC1783" s="54">
        <v>65.513500000000008</v>
      </c>
      <c r="AD1783" s="36">
        <v>15.757199999999997</v>
      </c>
    </row>
    <row r="1784" spans="1:30" s="37" customFormat="1" ht="15.75" customHeight="1" x14ac:dyDescent="0.2">
      <c r="A1784" s="26">
        <v>547</v>
      </c>
      <c r="B1784" s="27" t="s">
        <v>2868</v>
      </c>
      <c r="C1784" s="27" t="s">
        <v>3094</v>
      </c>
      <c r="D1784" s="28">
        <v>0.03</v>
      </c>
      <c r="E1784" s="29">
        <v>13.73</v>
      </c>
      <c r="F1784" s="29">
        <v>6.85</v>
      </c>
      <c r="G1784" s="30" t="s">
        <v>87</v>
      </c>
      <c r="H1784" s="27" t="s">
        <v>94</v>
      </c>
      <c r="I1784" s="27" t="s">
        <v>29</v>
      </c>
      <c r="J1784" s="27" t="s">
        <v>126</v>
      </c>
      <c r="K1784" s="27" t="s">
        <v>51</v>
      </c>
      <c r="L1784" s="31" t="s">
        <v>1767</v>
      </c>
      <c r="M1784" s="32">
        <v>0.54</v>
      </c>
      <c r="N1784" s="27" t="s">
        <v>33</v>
      </c>
      <c r="O1784" s="27" t="s">
        <v>111</v>
      </c>
      <c r="P1784" s="27" t="s">
        <v>903</v>
      </c>
      <c r="Q1784" s="27" t="s">
        <v>2869</v>
      </c>
      <c r="R1784" s="33">
        <v>26501</v>
      </c>
      <c r="S1784" s="34">
        <v>42169</v>
      </c>
      <c r="T1784" s="34">
        <v>42170</v>
      </c>
      <c r="U1784" s="29">
        <v>39.585299999999997</v>
      </c>
      <c r="V1784" s="26">
        <v>4</v>
      </c>
      <c r="W1784" s="29">
        <v>57.37</v>
      </c>
      <c r="X1784" s="26">
        <v>86250</v>
      </c>
      <c r="Y1784" s="35">
        <v>13.700000000000001</v>
      </c>
      <c r="Z1784" s="1" t="s">
        <v>3014</v>
      </c>
      <c r="AA1784" s="36">
        <v>1.6476</v>
      </c>
      <c r="AB1784" s="54">
        <v>26.390199999999997</v>
      </c>
      <c r="AC1784" s="54">
        <v>7.7449500000000002</v>
      </c>
      <c r="AD1784" s="36">
        <v>9.2871000000000024</v>
      </c>
    </row>
    <row r="1785" spans="1:30" s="37" customFormat="1" ht="15.75" customHeight="1" x14ac:dyDescent="0.2">
      <c r="A1785" s="26">
        <v>2979</v>
      </c>
      <c r="B1785" s="27" t="s">
        <v>818</v>
      </c>
      <c r="C1785" s="27" t="s">
        <v>3094</v>
      </c>
      <c r="D1785" s="28">
        <v>0.01</v>
      </c>
      <c r="E1785" s="29">
        <v>5.84</v>
      </c>
      <c r="F1785" s="29">
        <v>0.83</v>
      </c>
      <c r="G1785" s="30" t="s">
        <v>39</v>
      </c>
      <c r="H1785" s="27" t="s">
        <v>94</v>
      </c>
      <c r="I1785" s="27" t="s">
        <v>49</v>
      </c>
      <c r="J1785" s="27" t="s">
        <v>50</v>
      </c>
      <c r="K1785" s="27" t="s">
        <v>51</v>
      </c>
      <c r="L1785" s="31" t="s">
        <v>2606</v>
      </c>
      <c r="M1785" s="32">
        <v>0.49</v>
      </c>
      <c r="N1785" s="27" t="s">
        <v>33</v>
      </c>
      <c r="O1785" s="27" t="s">
        <v>53</v>
      </c>
      <c r="P1785" s="27" t="s">
        <v>565</v>
      </c>
      <c r="Q1785" s="27" t="s">
        <v>820</v>
      </c>
      <c r="R1785" s="33">
        <v>58601</v>
      </c>
      <c r="S1785" s="34">
        <v>42169</v>
      </c>
      <c r="T1785" s="34">
        <v>42171</v>
      </c>
      <c r="U1785" s="29">
        <v>16.091999999999999</v>
      </c>
      <c r="V1785" s="26">
        <v>4</v>
      </c>
      <c r="W1785" s="29">
        <v>23.89</v>
      </c>
      <c r="X1785" s="26">
        <v>86546</v>
      </c>
      <c r="Y1785" s="35">
        <v>5.83</v>
      </c>
      <c r="Z1785" s="1" t="s">
        <v>3012</v>
      </c>
      <c r="AA1785" s="36">
        <v>0.2336</v>
      </c>
      <c r="AB1785" s="54">
        <v>12.183900000000001</v>
      </c>
      <c r="AC1785" s="54">
        <v>2.9265249999999998</v>
      </c>
      <c r="AD1785" s="36">
        <v>6.7344000000000044</v>
      </c>
    </row>
    <row r="1786" spans="1:30" s="37" customFormat="1" ht="15.75" customHeight="1" x14ac:dyDescent="0.2">
      <c r="A1786" s="26">
        <v>3339</v>
      </c>
      <c r="B1786" s="27" t="s">
        <v>2863</v>
      </c>
      <c r="C1786" s="27" t="s">
        <v>38</v>
      </c>
      <c r="D1786" s="28">
        <v>0.03</v>
      </c>
      <c r="E1786" s="29">
        <v>2.61</v>
      </c>
      <c r="F1786" s="29">
        <v>0.5</v>
      </c>
      <c r="G1786" s="30" t="s">
        <v>39</v>
      </c>
      <c r="H1786" s="27" t="s">
        <v>40</v>
      </c>
      <c r="I1786" s="27" t="s">
        <v>49</v>
      </c>
      <c r="J1786" s="27" t="s">
        <v>152</v>
      </c>
      <c r="K1786" s="27" t="s">
        <v>73</v>
      </c>
      <c r="L1786" s="31" t="s">
        <v>1367</v>
      </c>
      <c r="M1786" s="32">
        <v>0.39</v>
      </c>
      <c r="N1786" s="27" t="s">
        <v>33</v>
      </c>
      <c r="O1786" s="27" t="s">
        <v>34</v>
      </c>
      <c r="P1786" s="27" t="s">
        <v>123</v>
      </c>
      <c r="Q1786" s="27" t="s">
        <v>2864</v>
      </c>
      <c r="R1786" s="33">
        <v>32780</v>
      </c>
      <c r="S1786" s="34">
        <v>42169</v>
      </c>
      <c r="T1786" s="34">
        <v>42170</v>
      </c>
      <c r="U1786" s="29">
        <v>4.0442999999999998</v>
      </c>
      <c r="V1786" s="26">
        <v>7</v>
      </c>
      <c r="W1786" s="29">
        <v>19.02</v>
      </c>
      <c r="X1786" s="26">
        <v>85981</v>
      </c>
      <c r="Y1786" s="35">
        <v>315.90000000000003</v>
      </c>
      <c r="Z1786" s="1" t="s">
        <v>3011</v>
      </c>
      <c r="AA1786" s="36">
        <v>0.54809999999999992</v>
      </c>
      <c r="AB1786" s="54">
        <v>11.6022</v>
      </c>
      <c r="AC1786" s="54">
        <v>1.0596857142857143</v>
      </c>
      <c r="AD1786" s="36">
        <v>13.9276</v>
      </c>
    </row>
    <row r="1787" spans="1:30" s="37" customFormat="1" ht="15.75" customHeight="1" x14ac:dyDescent="0.2">
      <c r="A1787" s="26">
        <v>736</v>
      </c>
      <c r="B1787" s="27" t="s">
        <v>2876</v>
      </c>
      <c r="C1787" s="27" t="s">
        <v>3094</v>
      </c>
      <c r="D1787" s="28">
        <v>0.06</v>
      </c>
      <c r="E1787" s="29">
        <v>350.98</v>
      </c>
      <c r="F1787" s="29">
        <v>30</v>
      </c>
      <c r="G1787" s="30" t="s">
        <v>27</v>
      </c>
      <c r="H1787" s="27" t="s">
        <v>40</v>
      </c>
      <c r="I1787" s="27" t="s">
        <v>29</v>
      </c>
      <c r="J1787" s="27" t="s">
        <v>109</v>
      </c>
      <c r="K1787" s="27" t="s">
        <v>58</v>
      </c>
      <c r="L1787" s="31" t="s">
        <v>191</v>
      </c>
      <c r="M1787" s="32">
        <v>0.61</v>
      </c>
      <c r="N1787" s="27" t="s">
        <v>33</v>
      </c>
      <c r="O1787" s="27" t="s">
        <v>111</v>
      </c>
      <c r="P1787" s="27" t="s">
        <v>1356</v>
      </c>
      <c r="Q1787" s="27" t="s">
        <v>1473</v>
      </c>
      <c r="R1787" s="33">
        <v>3079</v>
      </c>
      <c r="S1787" s="34">
        <v>42170</v>
      </c>
      <c r="T1787" s="34">
        <v>42172</v>
      </c>
      <c r="U1787" s="29">
        <v>797.85599999999999</v>
      </c>
      <c r="V1787" s="26">
        <v>6</v>
      </c>
      <c r="W1787" s="29">
        <v>2016.32</v>
      </c>
      <c r="X1787" s="26">
        <v>90361</v>
      </c>
      <c r="Y1787" s="35">
        <v>5.8900000000000006</v>
      </c>
      <c r="Z1787" s="1" t="s">
        <v>3014</v>
      </c>
      <c r="AA1787" s="36">
        <v>126.3528</v>
      </c>
      <c r="AB1787" s="54">
        <v>786.36479999999995</v>
      </c>
      <c r="AC1787" s="54">
        <v>204.99253333333334</v>
      </c>
      <c r="AD1787" s="36">
        <v>1062.1111999999998</v>
      </c>
    </row>
    <row r="1788" spans="1:30" s="37" customFormat="1" ht="15.75" customHeight="1" x14ac:dyDescent="0.2">
      <c r="A1788" s="26">
        <v>741</v>
      </c>
      <c r="B1788" s="27" t="s">
        <v>2878</v>
      </c>
      <c r="C1788" s="27" t="s">
        <v>3094</v>
      </c>
      <c r="D1788" s="28">
        <v>0.04</v>
      </c>
      <c r="E1788" s="29">
        <v>27.48</v>
      </c>
      <c r="F1788" s="29">
        <v>4</v>
      </c>
      <c r="G1788" s="30" t="s">
        <v>39</v>
      </c>
      <c r="H1788" s="27" t="s">
        <v>40</v>
      </c>
      <c r="I1788" s="27" t="s">
        <v>41</v>
      </c>
      <c r="J1788" s="27" t="s">
        <v>42</v>
      </c>
      <c r="K1788" s="27" t="s">
        <v>73</v>
      </c>
      <c r="L1788" s="31" t="s">
        <v>2061</v>
      </c>
      <c r="M1788" s="32">
        <v>0.75</v>
      </c>
      <c r="N1788" s="27" t="s">
        <v>33</v>
      </c>
      <c r="O1788" s="27" t="s">
        <v>111</v>
      </c>
      <c r="P1788" s="27" t="s">
        <v>397</v>
      </c>
      <c r="Q1788" s="27" t="s">
        <v>2879</v>
      </c>
      <c r="R1788" s="33">
        <v>7901</v>
      </c>
      <c r="S1788" s="34">
        <v>42170</v>
      </c>
      <c r="T1788" s="34">
        <v>42172</v>
      </c>
      <c r="U1788" s="29">
        <v>-26.655999999999999</v>
      </c>
      <c r="V1788" s="26">
        <v>15</v>
      </c>
      <c r="W1788" s="29">
        <v>397.17</v>
      </c>
      <c r="X1788" s="26">
        <v>90361</v>
      </c>
      <c r="Y1788" s="35">
        <v>4.21</v>
      </c>
      <c r="Z1788" s="1" t="s">
        <v>3014</v>
      </c>
      <c r="AA1788" s="36">
        <v>16.488</v>
      </c>
      <c r="AB1788" s="54">
        <v>99.292500000000004</v>
      </c>
      <c r="AC1788" s="54">
        <v>19.858499999999999</v>
      </c>
      <c r="AD1788" s="36">
        <v>403.33800000000002</v>
      </c>
    </row>
    <row r="1789" spans="1:30" s="37" customFormat="1" ht="15.75" customHeight="1" x14ac:dyDescent="0.2">
      <c r="A1789" s="26">
        <v>738</v>
      </c>
      <c r="B1789" s="27" t="s">
        <v>2877</v>
      </c>
      <c r="C1789" s="27" t="s">
        <v>3094</v>
      </c>
      <c r="D1789" s="28">
        <v>0.02</v>
      </c>
      <c r="E1789" s="29">
        <v>70.98</v>
      </c>
      <c r="F1789" s="29">
        <v>46.74</v>
      </c>
      <c r="G1789" s="30" t="s">
        <v>27</v>
      </c>
      <c r="H1789" s="27" t="s">
        <v>40</v>
      </c>
      <c r="I1789" s="27" t="s">
        <v>29</v>
      </c>
      <c r="J1789" s="27" t="s">
        <v>117</v>
      </c>
      <c r="K1789" s="27" t="s">
        <v>31</v>
      </c>
      <c r="L1789" s="31" t="s">
        <v>378</v>
      </c>
      <c r="M1789" s="32">
        <v>0.56000000000000005</v>
      </c>
      <c r="N1789" s="27" t="s">
        <v>33</v>
      </c>
      <c r="O1789" s="27" t="s">
        <v>111</v>
      </c>
      <c r="P1789" s="27" t="s">
        <v>397</v>
      </c>
      <c r="Q1789" s="27" t="s">
        <v>2372</v>
      </c>
      <c r="R1789" s="33">
        <v>7016</v>
      </c>
      <c r="S1789" s="34">
        <v>42170</v>
      </c>
      <c r="T1789" s="34">
        <v>42171</v>
      </c>
      <c r="U1789" s="29">
        <v>-178.21600000000001</v>
      </c>
      <c r="V1789" s="26">
        <v>4</v>
      </c>
      <c r="W1789" s="29">
        <v>313.63</v>
      </c>
      <c r="X1789" s="26">
        <v>90361</v>
      </c>
      <c r="Y1789" s="35">
        <v>2.9</v>
      </c>
      <c r="Z1789" s="1" t="s">
        <v>3014</v>
      </c>
      <c r="AA1789" s="36">
        <v>5.6784000000000008</v>
      </c>
      <c r="AB1789" s="54">
        <v>137.99719999999999</v>
      </c>
      <c r="AC1789" s="54">
        <v>43.908200000000001</v>
      </c>
      <c r="AD1789" s="36">
        <v>439.42759999999998</v>
      </c>
    </row>
    <row r="1790" spans="1:30" s="37" customFormat="1" ht="15.75" customHeight="1" x14ac:dyDescent="0.2">
      <c r="A1790" s="26">
        <v>2512</v>
      </c>
      <c r="B1790" s="27" t="s">
        <v>2882</v>
      </c>
      <c r="C1790" s="27" t="s">
        <v>3094</v>
      </c>
      <c r="D1790" s="28">
        <v>0.04</v>
      </c>
      <c r="E1790" s="29">
        <v>6.48</v>
      </c>
      <c r="F1790" s="29">
        <v>9.5399999999999991</v>
      </c>
      <c r="G1790" s="30" t="s">
        <v>39</v>
      </c>
      <c r="H1790" s="27" t="s">
        <v>71</v>
      </c>
      <c r="I1790" s="27" t="s">
        <v>49</v>
      </c>
      <c r="J1790" s="27" t="s">
        <v>88</v>
      </c>
      <c r="K1790" s="27" t="s">
        <v>73</v>
      </c>
      <c r="L1790" s="31" t="s">
        <v>2224</v>
      </c>
      <c r="M1790" s="32">
        <v>0.37</v>
      </c>
      <c r="N1790" s="27" t="s">
        <v>33</v>
      </c>
      <c r="O1790" s="27" t="s">
        <v>111</v>
      </c>
      <c r="P1790" s="27" t="s">
        <v>403</v>
      </c>
      <c r="Q1790" s="27" t="s">
        <v>2883</v>
      </c>
      <c r="R1790" s="33">
        <v>2138</v>
      </c>
      <c r="S1790" s="34">
        <v>42170</v>
      </c>
      <c r="T1790" s="34">
        <v>42172</v>
      </c>
      <c r="U1790" s="29">
        <v>-223.94399999999999</v>
      </c>
      <c r="V1790" s="26">
        <v>19</v>
      </c>
      <c r="W1790" s="29">
        <v>125.37</v>
      </c>
      <c r="X1790" s="26">
        <v>87030</v>
      </c>
      <c r="Y1790" s="35">
        <v>350.92</v>
      </c>
      <c r="Z1790" s="1" t="s">
        <v>3014</v>
      </c>
      <c r="AA1790" s="36">
        <v>4.9248000000000012</v>
      </c>
      <c r="AB1790" s="54">
        <v>78.983100000000007</v>
      </c>
      <c r="AC1790" s="54">
        <v>2.4414157894736843</v>
      </c>
      <c r="AD1790" s="36">
        <v>334.8492</v>
      </c>
    </row>
    <row r="1791" spans="1:30" s="37" customFormat="1" ht="15.75" customHeight="1" x14ac:dyDescent="0.2">
      <c r="A1791" s="26">
        <v>33</v>
      </c>
      <c r="B1791" s="27" t="s">
        <v>2874</v>
      </c>
      <c r="C1791" s="27" t="s">
        <v>3094</v>
      </c>
      <c r="D1791" s="28">
        <v>0.03</v>
      </c>
      <c r="E1791" s="29">
        <v>4.24</v>
      </c>
      <c r="F1791" s="29">
        <v>5.41</v>
      </c>
      <c r="G1791" s="30" t="s">
        <v>39</v>
      </c>
      <c r="H1791" s="27" t="s">
        <v>94</v>
      </c>
      <c r="I1791" s="27" t="s">
        <v>49</v>
      </c>
      <c r="J1791" s="27" t="s">
        <v>72</v>
      </c>
      <c r="K1791" s="27" t="s">
        <v>73</v>
      </c>
      <c r="L1791" s="31" t="s">
        <v>1671</v>
      </c>
      <c r="M1791" s="32">
        <v>0.35</v>
      </c>
      <c r="N1791" s="27" t="s">
        <v>33</v>
      </c>
      <c r="O1791" s="27" t="s">
        <v>60</v>
      </c>
      <c r="P1791" s="27" t="s">
        <v>139</v>
      </c>
      <c r="Q1791" s="27" t="s">
        <v>2875</v>
      </c>
      <c r="R1791" s="33">
        <v>97030</v>
      </c>
      <c r="S1791" s="34">
        <v>42170</v>
      </c>
      <c r="T1791" s="34">
        <v>42172</v>
      </c>
      <c r="U1791" s="29">
        <v>-84.437600000000003</v>
      </c>
      <c r="V1791" s="26">
        <v>13</v>
      </c>
      <c r="W1791" s="29">
        <v>58.68</v>
      </c>
      <c r="X1791" s="26">
        <v>89201</v>
      </c>
      <c r="Y1791" s="35">
        <v>70.960000000000008</v>
      </c>
      <c r="Z1791" s="1" t="s">
        <v>3013</v>
      </c>
      <c r="AA1791" s="36">
        <v>1.6536000000000002</v>
      </c>
      <c r="AB1791" s="54">
        <v>38.142000000000003</v>
      </c>
      <c r="AC1791" s="54">
        <v>1.5798461538461537</v>
      </c>
      <c r="AD1791" s="36">
        <v>136.054</v>
      </c>
    </row>
    <row r="1792" spans="1:30" s="37" customFormat="1" ht="15.75" customHeight="1" x14ac:dyDescent="0.2">
      <c r="A1792" s="26">
        <v>33</v>
      </c>
      <c r="B1792" s="27" t="s">
        <v>2874</v>
      </c>
      <c r="C1792" s="27" t="s">
        <v>3094</v>
      </c>
      <c r="D1792" s="28">
        <v>0.04</v>
      </c>
      <c r="E1792" s="29">
        <v>2.94</v>
      </c>
      <c r="F1792" s="29">
        <v>0.7</v>
      </c>
      <c r="G1792" s="30" t="s">
        <v>39</v>
      </c>
      <c r="H1792" s="27" t="s">
        <v>94</v>
      </c>
      <c r="I1792" s="27" t="s">
        <v>49</v>
      </c>
      <c r="J1792" s="27" t="s">
        <v>50</v>
      </c>
      <c r="K1792" s="27" t="s">
        <v>51</v>
      </c>
      <c r="L1792" s="31" t="s">
        <v>819</v>
      </c>
      <c r="M1792" s="32">
        <v>0.57999999999999996</v>
      </c>
      <c r="N1792" s="27" t="s">
        <v>33</v>
      </c>
      <c r="O1792" s="27" t="s">
        <v>60</v>
      </c>
      <c r="P1792" s="27" t="s">
        <v>139</v>
      </c>
      <c r="Q1792" s="27" t="s">
        <v>2875</v>
      </c>
      <c r="R1792" s="33">
        <v>97030</v>
      </c>
      <c r="S1792" s="34">
        <v>42170</v>
      </c>
      <c r="T1792" s="34">
        <v>42171</v>
      </c>
      <c r="U1792" s="29">
        <v>24.312000000000001</v>
      </c>
      <c r="V1792" s="26">
        <v>18</v>
      </c>
      <c r="W1792" s="29">
        <v>53.1</v>
      </c>
      <c r="X1792" s="26">
        <v>89201</v>
      </c>
      <c r="Y1792" s="35">
        <v>27.44</v>
      </c>
      <c r="Z1792" s="1" t="s">
        <v>3013</v>
      </c>
      <c r="AA1792" s="36">
        <v>2.1168</v>
      </c>
      <c r="AB1792" s="54">
        <v>22.302000000000003</v>
      </c>
      <c r="AC1792" s="54">
        <v>1.7110000000000001</v>
      </c>
      <c r="AD1792" s="36">
        <v>25.9712</v>
      </c>
    </row>
    <row r="1793" spans="1:30" s="37" customFormat="1" ht="15.75" customHeight="1" x14ac:dyDescent="0.2">
      <c r="A1793" s="26">
        <v>1860</v>
      </c>
      <c r="B1793" s="27" t="s">
        <v>2872</v>
      </c>
      <c r="C1793" s="27" t="s">
        <v>26</v>
      </c>
      <c r="D1793" s="28">
        <v>0.09</v>
      </c>
      <c r="E1793" s="29">
        <v>5.98</v>
      </c>
      <c r="F1793" s="29">
        <v>1.49</v>
      </c>
      <c r="G1793" s="30" t="s">
        <v>39</v>
      </c>
      <c r="H1793" s="27" t="s">
        <v>71</v>
      </c>
      <c r="I1793" s="27" t="s">
        <v>49</v>
      </c>
      <c r="J1793" s="27" t="s">
        <v>72</v>
      </c>
      <c r="K1793" s="27" t="s">
        <v>73</v>
      </c>
      <c r="L1793" s="31" t="s">
        <v>1587</v>
      </c>
      <c r="M1793" s="32">
        <v>0.39</v>
      </c>
      <c r="N1793" s="27" t="s">
        <v>33</v>
      </c>
      <c r="O1793" s="27" t="s">
        <v>111</v>
      </c>
      <c r="P1793" s="27" t="s">
        <v>403</v>
      </c>
      <c r="Q1793" s="27" t="s">
        <v>2873</v>
      </c>
      <c r="R1793" s="33">
        <v>1570</v>
      </c>
      <c r="S1793" s="34">
        <v>42170</v>
      </c>
      <c r="T1793" s="34">
        <v>42172</v>
      </c>
      <c r="U1793" s="29">
        <v>13.2294</v>
      </c>
      <c r="V1793" s="26">
        <v>5</v>
      </c>
      <c r="W1793" s="29">
        <v>28.01</v>
      </c>
      <c r="X1793" s="26">
        <v>86846</v>
      </c>
      <c r="Y1793" s="35">
        <v>1.48</v>
      </c>
      <c r="Z1793" s="1" t="s">
        <v>3014</v>
      </c>
      <c r="AA1793" s="36">
        <v>2.6909999999999998</v>
      </c>
      <c r="AB1793" s="54">
        <v>17.086100000000002</v>
      </c>
      <c r="AC1793" s="54">
        <v>2.1847800000000004</v>
      </c>
      <c r="AD1793" s="36">
        <v>10.599600000000002</v>
      </c>
    </row>
    <row r="1794" spans="1:30" s="37" customFormat="1" ht="15.75" customHeight="1" x14ac:dyDescent="0.2">
      <c r="A1794" s="26">
        <v>2183</v>
      </c>
      <c r="B1794" s="27" t="s">
        <v>2880</v>
      </c>
      <c r="C1794" s="27" t="s">
        <v>3094</v>
      </c>
      <c r="D1794" s="28">
        <v>0</v>
      </c>
      <c r="E1794" s="29">
        <v>1.48</v>
      </c>
      <c r="F1794" s="29">
        <v>0.7</v>
      </c>
      <c r="G1794" s="30" t="s">
        <v>39</v>
      </c>
      <c r="H1794" s="27" t="s">
        <v>71</v>
      </c>
      <c r="I1794" s="27" t="s">
        <v>49</v>
      </c>
      <c r="J1794" s="27" t="s">
        <v>176</v>
      </c>
      <c r="K1794" s="27" t="s">
        <v>51</v>
      </c>
      <c r="L1794" s="31" t="s">
        <v>177</v>
      </c>
      <c r="M1794" s="32">
        <v>0.37</v>
      </c>
      <c r="N1794" s="27" t="s">
        <v>33</v>
      </c>
      <c r="O1794" s="27" t="s">
        <v>34</v>
      </c>
      <c r="P1794" s="27" t="s">
        <v>388</v>
      </c>
      <c r="Q1794" s="27" t="s">
        <v>2881</v>
      </c>
      <c r="R1794" s="33">
        <v>42301</v>
      </c>
      <c r="S1794" s="34">
        <v>42170</v>
      </c>
      <c r="T1794" s="34">
        <v>42172</v>
      </c>
      <c r="U1794" s="29">
        <v>-203.09800000000001</v>
      </c>
      <c r="V1794" s="26">
        <v>12</v>
      </c>
      <c r="W1794" s="29">
        <v>19.32</v>
      </c>
      <c r="X1794" s="26">
        <v>91571</v>
      </c>
      <c r="Y1794" s="35">
        <v>6.44</v>
      </c>
      <c r="Z1794" s="1" t="s">
        <v>3011</v>
      </c>
      <c r="AA1794" s="36">
        <v>0</v>
      </c>
      <c r="AB1794" s="54">
        <v>12.1716</v>
      </c>
      <c r="AC1794" s="54">
        <v>0.59570000000000001</v>
      </c>
      <c r="AD1794" s="36">
        <v>221.71800000000002</v>
      </c>
    </row>
    <row r="1795" spans="1:30" s="37" customFormat="1" ht="15.75" customHeight="1" x14ac:dyDescent="0.2">
      <c r="A1795" s="26">
        <v>2355</v>
      </c>
      <c r="B1795" s="27" t="s">
        <v>1212</v>
      </c>
      <c r="C1795" s="27" t="s">
        <v>116</v>
      </c>
      <c r="D1795" s="28">
        <v>0.06</v>
      </c>
      <c r="E1795" s="29">
        <v>146.34</v>
      </c>
      <c r="F1795" s="29">
        <v>43.75</v>
      </c>
      <c r="G1795" s="30" t="s">
        <v>27</v>
      </c>
      <c r="H1795" s="27" t="s">
        <v>40</v>
      </c>
      <c r="I1795" s="27" t="s">
        <v>29</v>
      </c>
      <c r="J1795" s="27" t="s">
        <v>30</v>
      </c>
      <c r="K1795" s="27" t="s">
        <v>31</v>
      </c>
      <c r="L1795" s="31" t="s">
        <v>155</v>
      </c>
      <c r="M1795" s="32">
        <v>0.65</v>
      </c>
      <c r="N1795" s="27" t="s">
        <v>33</v>
      </c>
      <c r="O1795" s="27" t="s">
        <v>60</v>
      </c>
      <c r="P1795" s="27" t="s">
        <v>90</v>
      </c>
      <c r="Q1795" s="27" t="s">
        <v>1214</v>
      </c>
      <c r="R1795" s="33">
        <v>92236</v>
      </c>
      <c r="S1795" s="34">
        <v>42171</v>
      </c>
      <c r="T1795" s="34">
        <v>42173</v>
      </c>
      <c r="U1795" s="29">
        <v>-89.27</v>
      </c>
      <c r="V1795" s="26">
        <v>12</v>
      </c>
      <c r="W1795" s="29">
        <v>1721.24</v>
      </c>
      <c r="X1795" s="26">
        <v>91306</v>
      </c>
      <c r="Y1795" s="35">
        <v>7.54</v>
      </c>
      <c r="Z1795" s="1" t="s">
        <v>3013</v>
      </c>
      <c r="AA1795" s="36">
        <v>105.3648</v>
      </c>
      <c r="AB1795" s="54">
        <v>602.43399999999997</v>
      </c>
      <c r="AC1795" s="54">
        <v>93.233833333333337</v>
      </c>
      <c r="AD1795" s="36">
        <v>1661.3951999999999</v>
      </c>
    </row>
    <row r="1796" spans="1:30" s="37" customFormat="1" ht="15.75" customHeight="1" x14ac:dyDescent="0.2">
      <c r="A1796" s="26">
        <v>1492</v>
      </c>
      <c r="B1796" s="27" t="s">
        <v>2890</v>
      </c>
      <c r="C1796" s="27" t="s">
        <v>38</v>
      </c>
      <c r="D1796" s="28">
        <v>0.04</v>
      </c>
      <c r="E1796" s="29">
        <v>119.99</v>
      </c>
      <c r="F1796" s="29">
        <v>14</v>
      </c>
      <c r="G1796" s="30" t="s">
        <v>27</v>
      </c>
      <c r="H1796" s="27" t="s">
        <v>94</v>
      </c>
      <c r="I1796" s="27" t="s">
        <v>41</v>
      </c>
      <c r="J1796" s="27" t="s">
        <v>57</v>
      </c>
      <c r="K1796" s="27" t="s">
        <v>58</v>
      </c>
      <c r="L1796" s="31" t="s">
        <v>2151</v>
      </c>
      <c r="M1796" s="32">
        <v>0.36</v>
      </c>
      <c r="N1796" s="27" t="s">
        <v>33</v>
      </c>
      <c r="O1796" s="27" t="s">
        <v>53</v>
      </c>
      <c r="P1796" s="27" t="s">
        <v>80</v>
      </c>
      <c r="Q1796" s="27" t="s">
        <v>2891</v>
      </c>
      <c r="R1796" s="33">
        <v>65721</v>
      </c>
      <c r="S1796" s="34">
        <v>42171</v>
      </c>
      <c r="T1796" s="34">
        <v>42173</v>
      </c>
      <c r="U1796" s="29">
        <v>509.95830000000001</v>
      </c>
      <c r="V1796" s="26">
        <v>6</v>
      </c>
      <c r="W1796" s="29">
        <v>739.07</v>
      </c>
      <c r="X1796" s="26">
        <v>88004</v>
      </c>
      <c r="Y1796" s="35">
        <v>41.29</v>
      </c>
      <c r="Z1796" s="1" t="s">
        <v>3012</v>
      </c>
      <c r="AA1796" s="36">
        <v>28.797599999999999</v>
      </c>
      <c r="AB1796" s="54">
        <v>473.00480000000005</v>
      </c>
      <c r="AC1796" s="54">
        <v>44.344200000000001</v>
      </c>
      <c r="AD1796" s="36">
        <v>186.31410000000005</v>
      </c>
    </row>
    <row r="1797" spans="1:30" s="37" customFormat="1" ht="15.75" customHeight="1" x14ac:dyDescent="0.2">
      <c r="A1797" s="26">
        <v>2677</v>
      </c>
      <c r="B1797" s="27" t="s">
        <v>2886</v>
      </c>
      <c r="C1797" s="27" t="s">
        <v>26</v>
      </c>
      <c r="D1797" s="28">
        <v>0.03</v>
      </c>
      <c r="E1797" s="29">
        <v>41.32</v>
      </c>
      <c r="F1797" s="29">
        <v>58.66</v>
      </c>
      <c r="G1797" s="30" t="s">
        <v>87</v>
      </c>
      <c r="H1797" s="27" t="s">
        <v>3095</v>
      </c>
      <c r="I1797" s="27" t="s">
        <v>29</v>
      </c>
      <c r="J1797" s="27" t="s">
        <v>126</v>
      </c>
      <c r="K1797" s="27" t="s">
        <v>144</v>
      </c>
      <c r="L1797" s="31" t="s">
        <v>2887</v>
      </c>
      <c r="M1797" s="32">
        <v>0.76</v>
      </c>
      <c r="N1797" s="27" t="s">
        <v>33</v>
      </c>
      <c r="O1797" s="27" t="s">
        <v>34</v>
      </c>
      <c r="P1797" s="27" t="s">
        <v>242</v>
      </c>
      <c r="Q1797" s="27" t="s">
        <v>802</v>
      </c>
      <c r="R1797" s="33">
        <v>22601</v>
      </c>
      <c r="S1797" s="34">
        <v>42171</v>
      </c>
      <c r="T1797" s="34">
        <v>42172</v>
      </c>
      <c r="U1797" s="29">
        <v>-32.816000000000003</v>
      </c>
      <c r="V1797" s="26">
        <v>10</v>
      </c>
      <c r="W1797" s="29">
        <v>419.27</v>
      </c>
      <c r="X1797" s="26">
        <v>86633</v>
      </c>
      <c r="Y1797" s="35">
        <v>6.88</v>
      </c>
      <c r="Z1797" s="1" t="s">
        <v>3011</v>
      </c>
      <c r="AA1797" s="36">
        <v>12.396000000000001</v>
      </c>
      <c r="AB1797" s="54">
        <v>100.62479999999999</v>
      </c>
      <c r="AC1797" s="54">
        <v>31.864519999999999</v>
      </c>
      <c r="AD1797" s="36">
        <v>381.03</v>
      </c>
    </row>
    <row r="1798" spans="1:30" s="37" customFormat="1" ht="15.75" customHeight="1" x14ac:dyDescent="0.2">
      <c r="A1798" s="26">
        <v>2720</v>
      </c>
      <c r="B1798" s="27" t="s">
        <v>2888</v>
      </c>
      <c r="C1798" s="27" t="s">
        <v>26</v>
      </c>
      <c r="D1798" s="28">
        <v>0</v>
      </c>
      <c r="E1798" s="29">
        <v>40.479999999999997</v>
      </c>
      <c r="F1798" s="29">
        <v>19.989999999999998</v>
      </c>
      <c r="G1798" s="30" t="s">
        <v>39</v>
      </c>
      <c r="H1798" s="27" t="s">
        <v>3095</v>
      </c>
      <c r="I1798" s="27" t="s">
        <v>41</v>
      </c>
      <c r="J1798" s="27" t="s">
        <v>42</v>
      </c>
      <c r="K1798" s="27" t="s">
        <v>73</v>
      </c>
      <c r="L1798" s="31" t="s">
        <v>2054</v>
      </c>
      <c r="M1798" s="32">
        <v>0.77</v>
      </c>
      <c r="N1798" s="27" t="s">
        <v>33</v>
      </c>
      <c r="O1798" s="27" t="s">
        <v>34</v>
      </c>
      <c r="P1798" s="27" t="s">
        <v>75</v>
      </c>
      <c r="Q1798" s="27" t="s">
        <v>2889</v>
      </c>
      <c r="R1798" s="33">
        <v>30721</v>
      </c>
      <c r="S1798" s="34">
        <v>42171</v>
      </c>
      <c r="T1798" s="34">
        <v>42172</v>
      </c>
      <c r="U1798" s="29">
        <v>-25.634</v>
      </c>
      <c r="V1798" s="26">
        <v>6</v>
      </c>
      <c r="W1798" s="29">
        <v>264.95</v>
      </c>
      <c r="X1798" s="26">
        <v>88766</v>
      </c>
      <c r="Y1798" s="35">
        <v>40.479999999999997</v>
      </c>
      <c r="Z1798" s="1" t="s">
        <v>3011</v>
      </c>
      <c r="AA1798" s="36">
        <v>0</v>
      </c>
      <c r="AB1798" s="54">
        <v>60.938499999999991</v>
      </c>
      <c r="AC1798" s="54">
        <v>34.001916666666666</v>
      </c>
      <c r="AD1798" s="36">
        <v>270.59399999999999</v>
      </c>
    </row>
    <row r="1799" spans="1:30" s="37" customFormat="1" ht="15.75" customHeight="1" x14ac:dyDescent="0.2">
      <c r="A1799" s="26">
        <v>1038</v>
      </c>
      <c r="B1799" s="27" t="s">
        <v>2884</v>
      </c>
      <c r="C1799" s="27" t="s">
        <v>26</v>
      </c>
      <c r="D1799" s="28">
        <v>0.1</v>
      </c>
      <c r="E1799" s="29">
        <v>7.64</v>
      </c>
      <c r="F1799" s="29">
        <v>5.83</v>
      </c>
      <c r="G1799" s="30" t="s">
        <v>39</v>
      </c>
      <c r="H1799" s="27" t="s">
        <v>94</v>
      </c>
      <c r="I1799" s="27" t="s">
        <v>49</v>
      </c>
      <c r="J1799" s="27" t="s">
        <v>88</v>
      </c>
      <c r="K1799" s="27" t="s">
        <v>51</v>
      </c>
      <c r="L1799" s="31" t="s">
        <v>232</v>
      </c>
      <c r="M1799" s="32">
        <v>0.36</v>
      </c>
      <c r="N1799" s="27" t="s">
        <v>33</v>
      </c>
      <c r="O1799" s="27" t="s">
        <v>34</v>
      </c>
      <c r="P1799" s="27" t="s">
        <v>123</v>
      </c>
      <c r="Q1799" s="27" t="s">
        <v>2885</v>
      </c>
      <c r="R1799" s="33">
        <v>33430</v>
      </c>
      <c r="S1799" s="34">
        <v>42171</v>
      </c>
      <c r="T1799" s="34">
        <v>42172</v>
      </c>
      <c r="U1799" s="29">
        <v>-403.18740000000003</v>
      </c>
      <c r="V1799" s="26">
        <v>5</v>
      </c>
      <c r="W1799" s="29">
        <v>39.36</v>
      </c>
      <c r="X1799" s="26">
        <v>90641</v>
      </c>
      <c r="Y1799" s="35">
        <v>119.94999999999999</v>
      </c>
      <c r="Z1799" s="1" t="s">
        <v>3011</v>
      </c>
      <c r="AA1799" s="36">
        <v>3.8200000000000003</v>
      </c>
      <c r="AB1799" s="54">
        <v>25.1904</v>
      </c>
      <c r="AC1799" s="54">
        <v>2.83392</v>
      </c>
      <c r="AD1799" s="36">
        <v>432.89740000000006</v>
      </c>
    </row>
    <row r="1800" spans="1:30" s="37" customFormat="1" ht="15.75" customHeight="1" x14ac:dyDescent="0.2">
      <c r="A1800" s="26">
        <v>2677</v>
      </c>
      <c r="B1800" s="27" t="s">
        <v>2886</v>
      </c>
      <c r="C1800" s="27" t="s">
        <v>26</v>
      </c>
      <c r="D1800" s="28">
        <v>0</v>
      </c>
      <c r="E1800" s="29">
        <v>6.88</v>
      </c>
      <c r="F1800" s="29">
        <v>2</v>
      </c>
      <c r="G1800" s="30" t="s">
        <v>39</v>
      </c>
      <c r="H1800" s="27" t="s">
        <v>3095</v>
      </c>
      <c r="I1800" s="27" t="s">
        <v>49</v>
      </c>
      <c r="J1800" s="27" t="s">
        <v>88</v>
      </c>
      <c r="K1800" s="27" t="s">
        <v>51</v>
      </c>
      <c r="L1800" s="31" t="s">
        <v>852</v>
      </c>
      <c r="M1800" s="32">
        <v>0.39</v>
      </c>
      <c r="N1800" s="27" t="s">
        <v>33</v>
      </c>
      <c r="O1800" s="27" t="s">
        <v>34</v>
      </c>
      <c r="P1800" s="27" t="s">
        <v>242</v>
      </c>
      <c r="Q1800" s="27" t="s">
        <v>802</v>
      </c>
      <c r="R1800" s="33">
        <v>22601</v>
      </c>
      <c r="S1800" s="34">
        <v>42171</v>
      </c>
      <c r="T1800" s="34">
        <v>42171</v>
      </c>
      <c r="U1800" s="29">
        <v>-15.61</v>
      </c>
      <c r="V1800" s="26">
        <v>5</v>
      </c>
      <c r="W1800" s="29">
        <v>36</v>
      </c>
      <c r="X1800" s="26">
        <v>86633</v>
      </c>
      <c r="Y1800" s="35">
        <v>146.28</v>
      </c>
      <c r="Z1800" s="1" t="s">
        <v>3011</v>
      </c>
      <c r="AA1800" s="36">
        <v>0</v>
      </c>
      <c r="AB1800" s="54">
        <v>21.96</v>
      </c>
      <c r="AC1800" s="54">
        <v>2.8080000000000003</v>
      </c>
      <c r="AD1800" s="36">
        <v>49.61</v>
      </c>
    </row>
    <row r="1801" spans="1:30" s="37" customFormat="1" ht="15.75" customHeight="1" x14ac:dyDescent="0.2">
      <c r="A1801" s="26">
        <v>286</v>
      </c>
      <c r="B1801" s="27" t="s">
        <v>2893</v>
      </c>
      <c r="C1801" s="27" t="s">
        <v>48</v>
      </c>
      <c r="D1801" s="28">
        <v>0.1</v>
      </c>
      <c r="E1801" s="29">
        <v>130.97999999999999</v>
      </c>
      <c r="F1801" s="29">
        <v>54.74</v>
      </c>
      <c r="G1801" s="30" t="s">
        <v>27</v>
      </c>
      <c r="H1801" s="27" t="s">
        <v>3095</v>
      </c>
      <c r="I1801" s="27" t="s">
        <v>29</v>
      </c>
      <c r="J1801" s="27" t="s">
        <v>117</v>
      </c>
      <c r="K1801" s="27" t="s">
        <v>31</v>
      </c>
      <c r="L1801" s="31" t="s">
        <v>1403</v>
      </c>
      <c r="M1801" s="32">
        <v>0.69</v>
      </c>
      <c r="N1801" s="27" t="s">
        <v>33</v>
      </c>
      <c r="O1801" s="27" t="s">
        <v>53</v>
      </c>
      <c r="P1801" s="27" t="s">
        <v>537</v>
      </c>
      <c r="Q1801" s="27" t="s">
        <v>2895</v>
      </c>
      <c r="R1801" s="33">
        <v>66203</v>
      </c>
      <c r="S1801" s="34">
        <v>42172</v>
      </c>
      <c r="T1801" s="34">
        <v>42176</v>
      </c>
      <c r="U1801" s="29">
        <v>-530.24</v>
      </c>
      <c r="V1801" s="26">
        <v>9</v>
      </c>
      <c r="W1801" s="29">
        <v>1155.73</v>
      </c>
      <c r="X1801" s="26">
        <v>89761</v>
      </c>
      <c r="Y1801" s="35">
        <v>33.85</v>
      </c>
      <c r="Z1801" s="1" t="s">
        <v>3012</v>
      </c>
      <c r="AA1801" s="36">
        <v>117.88199999999999</v>
      </c>
      <c r="AB1801" s="54">
        <v>358.27630000000005</v>
      </c>
      <c r="AC1801" s="54">
        <v>88.605966666666674</v>
      </c>
      <c r="AD1801" s="36">
        <v>1513.348</v>
      </c>
    </row>
    <row r="1802" spans="1:30" s="37" customFormat="1" ht="15.75" customHeight="1" x14ac:dyDescent="0.2">
      <c r="A1802" s="26">
        <v>646</v>
      </c>
      <c r="B1802" s="27" t="s">
        <v>2896</v>
      </c>
      <c r="C1802" s="27" t="s">
        <v>48</v>
      </c>
      <c r="D1802" s="28">
        <v>0.03</v>
      </c>
      <c r="E1802" s="29">
        <v>51.75</v>
      </c>
      <c r="F1802" s="29">
        <v>19.989999999999998</v>
      </c>
      <c r="G1802" s="30" t="s">
        <v>39</v>
      </c>
      <c r="H1802" s="27" t="s">
        <v>94</v>
      </c>
      <c r="I1802" s="27" t="s">
        <v>29</v>
      </c>
      <c r="J1802" s="27" t="s">
        <v>126</v>
      </c>
      <c r="K1802" s="27" t="s">
        <v>73</v>
      </c>
      <c r="L1802" s="31" t="s">
        <v>2897</v>
      </c>
      <c r="M1802" s="32">
        <v>0.55000000000000004</v>
      </c>
      <c r="N1802" s="27" t="s">
        <v>33</v>
      </c>
      <c r="O1802" s="27" t="s">
        <v>53</v>
      </c>
      <c r="P1802" s="27" t="s">
        <v>84</v>
      </c>
      <c r="Q1802" s="27" t="s">
        <v>2898</v>
      </c>
      <c r="R1802" s="33">
        <v>55379</v>
      </c>
      <c r="S1802" s="34">
        <v>42172</v>
      </c>
      <c r="T1802" s="34">
        <v>42177</v>
      </c>
      <c r="U1802" s="29">
        <v>261.44400000000002</v>
      </c>
      <c r="V1802" s="26">
        <v>16</v>
      </c>
      <c r="W1802" s="29">
        <v>818.81</v>
      </c>
      <c r="X1802" s="26">
        <v>90735</v>
      </c>
      <c r="Y1802" s="35">
        <v>1.5799999999999998</v>
      </c>
      <c r="Z1802" s="1" t="s">
        <v>3012</v>
      </c>
      <c r="AA1802" s="36">
        <v>24.84</v>
      </c>
      <c r="AB1802" s="54">
        <v>368.46449999999993</v>
      </c>
      <c r="AC1802" s="54">
        <v>28.146593750000001</v>
      </c>
      <c r="AD1802" s="36">
        <v>512.53599999999994</v>
      </c>
    </row>
    <row r="1803" spans="1:30" s="37" customFormat="1" ht="15.75" customHeight="1" x14ac:dyDescent="0.2">
      <c r="A1803" s="26">
        <v>1193</v>
      </c>
      <c r="B1803" s="27" t="s">
        <v>1351</v>
      </c>
      <c r="C1803" s="27" t="s">
        <v>48</v>
      </c>
      <c r="D1803" s="28">
        <v>0.03</v>
      </c>
      <c r="E1803" s="29">
        <v>10.64</v>
      </c>
      <c r="F1803" s="29">
        <v>5.16</v>
      </c>
      <c r="G1803" s="30" t="s">
        <v>39</v>
      </c>
      <c r="H1803" s="27" t="s">
        <v>40</v>
      </c>
      <c r="I1803" s="27" t="s">
        <v>29</v>
      </c>
      <c r="J1803" s="27" t="s">
        <v>126</v>
      </c>
      <c r="K1803" s="27" t="s">
        <v>73</v>
      </c>
      <c r="L1803" s="31" t="s">
        <v>1844</v>
      </c>
      <c r="M1803" s="32">
        <v>0.56999999999999995</v>
      </c>
      <c r="N1803" s="27" t="s">
        <v>33</v>
      </c>
      <c r="O1803" s="27" t="s">
        <v>111</v>
      </c>
      <c r="P1803" s="27" t="s">
        <v>374</v>
      </c>
      <c r="Q1803" s="27" t="s">
        <v>67</v>
      </c>
      <c r="R1803" s="33">
        <v>20016</v>
      </c>
      <c r="S1803" s="34">
        <v>42172</v>
      </c>
      <c r="T1803" s="34">
        <v>42177</v>
      </c>
      <c r="U1803" s="29">
        <v>14.48</v>
      </c>
      <c r="V1803" s="26">
        <v>63</v>
      </c>
      <c r="W1803" s="29">
        <v>696.96</v>
      </c>
      <c r="X1803" s="26">
        <v>5984</v>
      </c>
      <c r="Y1803" s="35">
        <v>4.13</v>
      </c>
      <c r="Z1803" s="1" t="s">
        <v>3014</v>
      </c>
      <c r="AA1803" s="36">
        <v>20.1096</v>
      </c>
      <c r="AB1803" s="54">
        <v>299.69280000000003</v>
      </c>
      <c r="AC1803" s="54">
        <v>6.305828571428572</v>
      </c>
      <c r="AD1803" s="36">
        <v>657.21040000000005</v>
      </c>
    </row>
    <row r="1804" spans="1:30" s="37" customFormat="1" ht="15.75" customHeight="1" x14ac:dyDescent="0.2">
      <c r="A1804" s="26">
        <v>3096</v>
      </c>
      <c r="B1804" s="27" t="s">
        <v>2653</v>
      </c>
      <c r="C1804" s="27" t="s">
        <v>26</v>
      </c>
      <c r="D1804" s="28">
        <v>0.04</v>
      </c>
      <c r="E1804" s="29">
        <v>33.89</v>
      </c>
      <c r="F1804" s="29">
        <v>5.0999999999999996</v>
      </c>
      <c r="G1804" s="30" t="s">
        <v>87</v>
      </c>
      <c r="H1804" s="27" t="s">
        <v>40</v>
      </c>
      <c r="I1804" s="27" t="s">
        <v>49</v>
      </c>
      <c r="J1804" s="27" t="s">
        <v>78</v>
      </c>
      <c r="K1804" s="27" t="s">
        <v>73</v>
      </c>
      <c r="L1804" s="31" t="s">
        <v>305</v>
      </c>
      <c r="M1804" s="32">
        <v>0.6</v>
      </c>
      <c r="N1804" s="27" t="s">
        <v>33</v>
      </c>
      <c r="O1804" s="27" t="s">
        <v>111</v>
      </c>
      <c r="P1804" s="27" t="s">
        <v>317</v>
      </c>
      <c r="Q1804" s="27" t="s">
        <v>2440</v>
      </c>
      <c r="R1804" s="33">
        <v>43026</v>
      </c>
      <c r="S1804" s="34">
        <v>42172</v>
      </c>
      <c r="T1804" s="34">
        <v>42173</v>
      </c>
      <c r="U1804" s="29">
        <v>72.983999999999995</v>
      </c>
      <c r="V1804" s="26">
        <v>6</v>
      </c>
      <c r="W1804" s="29">
        <v>200.83</v>
      </c>
      <c r="X1804" s="26">
        <v>86222</v>
      </c>
      <c r="Y1804" s="35">
        <v>130.88</v>
      </c>
      <c r="Z1804" s="1" t="s">
        <v>3014</v>
      </c>
      <c r="AA1804" s="36">
        <v>8.1336000000000013</v>
      </c>
      <c r="AB1804" s="54">
        <v>80.332000000000008</v>
      </c>
      <c r="AC1804" s="54">
        <v>20.083000000000002</v>
      </c>
      <c r="AD1804" s="36">
        <v>114.61240000000002</v>
      </c>
    </row>
    <row r="1805" spans="1:30" s="37" customFormat="1" ht="15.75" customHeight="1" x14ac:dyDescent="0.2">
      <c r="A1805" s="26">
        <v>317</v>
      </c>
      <c r="B1805" s="27" t="s">
        <v>2900</v>
      </c>
      <c r="C1805" s="27" t="s">
        <v>3094</v>
      </c>
      <c r="D1805" s="28">
        <v>0.04</v>
      </c>
      <c r="E1805" s="29">
        <v>15.42</v>
      </c>
      <c r="F1805" s="29">
        <v>10.68</v>
      </c>
      <c r="G1805" s="30" t="s">
        <v>39</v>
      </c>
      <c r="H1805" s="27" t="s">
        <v>94</v>
      </c>
      <c r="I1805" s="27" t="s">
        <v>49</v>
      </c>
      <c r="J1805" s="27" t="s">
        <v>78</v>
      </c>
      <c r="K1805" s="27" t="s">
        <v>73</v>
      </c>
      <c r="L1805" s="31" t="s">
        <v>2265</v>
      </c>
      <c r="M1805" s="32">
        <v>0.57999999999999996</v>
      </c>
      <c r="N1805" s="27" t="s">
        <v>33</v>
      </c>
      <c r="O1805" s="27" t="s">
        <v>60</v>
      </c>
      <c r="P1805" s="27" t="s">
        <v>90</v>
      </c>
      <c r="Q1805" s="27" t="s">
        <v>2901</v>
      </c>
      <c r="R1805" s="33">
        <v>91945</v>
      </c>
      <c r="S1805" s="34">
        <v>42172</v>
      </c>
      <c r="T1805" s="34">
        <v>42173</v>
      </c>
      <c r="U1805" s="29">
        <v>-119.93600000000001</v>
      </c>
      <c r="V1805" s="26">
        <v>12</v>
      </c>
      <c r="W1805" s="29">
        <v>192.18</v>
      </c>
      <c r="X1805" s="26">
        <v>86041</v>
      </c>
      <c r="Y1805" s="35">
        <v>51.72</v>
      </c>
      <c r="Z1805" s="1" t="s">
        <v>3013</v>
      </c>
      <c r="AA1805" s="36">
        <v>7.4016000000000002</v>
      </c>
      <c r="AB1805" s="54">
        <v>80.715600000000009</v>
      </c>
      <c r="AC1805" s="54">
        <v>9.2887000000000004</v>
      </c>
      <c r="AD1805" s="36">
        <v>294.03440000000001</v>
      </c>
    </row>
    <row r="1806" spans="1:30" s="37" customFormat="1" ht="15.75" customHeight="1" x14ac:dyDescent="0.2">
      <c r="A1806" s="26">
        <v>1189</v>
      </c>
      <c r="B1806" s="27" t="s">
        <v>2899</v>
      </c>
      <c r="C1806" s="27" t="s">
        <v>48</v>
      </c>
      <c r="D1806" s="28">
        <v>0.03</v>
      </c>
      <c r="E1806" s="29">
        <v>10.64</v>
      </c>
      <c r="F1806" s="29">
        <v>5.16</v>
      </c>
      <c r="G1806" s="30" t="s">
        <v>39</v>
      </c>
      <c r="H1806" s="27" t="s">
        <v>40</v>
      </c>
      <c r="I1806" s="27" t="s">
        <v>29</v>
      </c>
      <c r="J1806" s="27" t="s">
        <v>126</v>
      </c>
      <c r="K1806" s="27" t="s">
        <v>73</v>
      </c>
      <c r="L1806" s="31" t="s">
        <v>1844</v>
      </c>
      <c r="M1806" s="32">
        <v>0.56999999999999995</v>
      </c>
      <c r="N1806" s="27" t="s">
        <v>33</v>
      </c>
      <c r="O1806" s="27" t="s">
        <v>60</v>
      </c>
      <c r="P1806" s="27" t="s">
        <v>90</v>
      </c>
      <c r="Q1806" s="27" t="s">
        <v>2096</v>
      </c>
      <c r="R1806" s="33">
        <v>92646</v>
      </c>
      <c r="S1806" s="34">
        <v>42172</v>
      </c>
      <c r="T1806" s="34">
        <v>42177</v>
      </c>
      <c r="U1806" s="29">
        <v>17.376000000000001</v>
      </c>
      <c r="V1806" s="26">
        <v>16</v>
      </c>
      <c r="W1806" s="29">
        <v>177.01</v>
      </c>
      <c r="X1806" s="26">
        <v>87584</v>
      </c>
      <c r="Y1806" s="35">
        <v>10.83</v>
      </c>
      <c r="Z1806" s="1" t="s">
        <v>3013</v>
      </c>
      <c r="AA1806" s="36">
        <v>5.1071999999999997</v>
      </c>
      <c r="AB1806" s="54">
        <v>76.1143</v>
      </c>
      <c r="AC1806" s="54">
        <v>6.3059812499999994</v>
      </c>
      <c r="AD1806" s="36">
        <v>149.36679999999998</v>
      </c>
    </row>
    <row r="1807" spans="1:30" s="37" customFormat="1" ht="15.75" customHeight="1" x14ac:dyDescent="0.2">
      <c r="A1807" s="26">
        <v>1193</v>
      </c>
      <c r="B1807" s="27" t="s">
        <v>1351</v>
      </c>
      <c r="C1807" s="27" t="s">
        <v>48</v>
      </c>
      <c r="D1807" s="28">
        <v>0.03</v>
      </c>
      <c r="E1807" s="29">
        <v>7.96</v>
      </c>
      <c r="F1807" s="29">
        <v>4.95</v>
      </c>
      <c r="G1807" s="30" t="s">
        <v>39</v>
      </c>
      <c r="H1807" s="27" t="s">
        <v>40</v>
      </c>
      <c r="I1807" s="27" t="s">
        <v>29</v>
      </c>
      <c r="J1807" s="27" t="s">
        <v>126</v>
      </c>
      <c r="K1807" s="27" t="s">
        <v>73</v>
      </c>
      <c r="L1807" s="31" t="s">
        <v>811</v>
      </c>
      <c r="M1807" s="32">
        <v>0.41</v>
      </c>
      <c r="N1807" s="27" t="s">
        <v>33</v>
      </c>
      <c r="O1807" s="27" t="s">
        <v>111</v>
      </c>
      <c r="P1807" s="27" t="s">
        <v>374</v>
      </c>
      <c r="Q1807" s="27" t="s">
        <v>67</v>
      </c>
      <c r="R1807" s="33">
        <v>20016</v>
      </c>
      <c r="S1807" s="34">
        <v>42172</v>
      </c>
      <c r="T1807" s="34">
        <v>42174</v>
      </c>
      <c r="U1807" s="29">
        <v>22.25</v>
      </c>
      <c r="V1807" s="26">
        <v>17</v>
      </c>
      <c r="W1807" s="29">
        <v>149.41</v>
      </c>
      <c r="X1807" s="26">
        <v>5984</v>
      </c>
      <c r="Y1807" s="35">
        <v>10.610000000000001</v>
      </c>
      <c r="Z1807" s="1" t="s">
        <v>3014</v>
      </c>
      <c r="AA1807" s="36">
        <v>4.0595999999999997</v>
      </c>
      <c r="AB1807" s="54">
        <v>88.151900000000012</v>
      </c>
      <c r="AC1807" s="54">
        <v>3.6034176470588233</v>
      </c>
      <c r="AD1807" s="36">
        <v>118.15039999999999</v>
      </c>
    </row>
    <row r="1808" spans="1:30" s="37" customFormat="1" ht="15.75" customHeight="1" x14ac:dyDescent="0.2">
      <c r="A1808" s="26">
        <v>1189</v>
      </c>
      <c r="B1808" s="27" t="s">
        <v>2899</v>
      </c>
      <c r="C1808" s="27" t="s">
        <v>48</v>
      </c>
      <c r="D1808" s="28">
        <v>0.06</v>
      </c>
      <c r="E1808" s="29">
        <v>10.89</v>
      </c>
      <c r="F1808" s="29">
        <v>4.5</v>
      </c>
      <c r="G1808" s="30" t="s">
        <v>39</v>
      </c>
      <c r="H1808" s="27" t="s">
        <v>40</v>
      </c>
      <c r="I1808" s="27" t="s">
        <v>49</v>
      </c>
      <c r="J1808" s="27" t="s">
        <v>95</v>
      </c>
      <c r="K1808" s="27" t="s">
        <v>73</v>
      </c>
      <c r="L1808" s="31" t="s">
        <v>773</v>
      </c>
      <c r="M1808" s="32">
        <v>0.59</v>
      </c>
      <c r="N1808" s="27" t="s">
        <v>33</v>
      </c>
      <c r="O1808" s="27" t="s">
        <v>60</v>
      </c>
      <c r="P1808" s="27" t="s">
        <v>90</v>
      </c>
      <c r="Q1808" s="27" t="s">
        <v>2096</v>
      </c>
      <c r="R1808" s="33">
        <v>92646</v>
      </c>
      <c r="S1808" s="34">
        <v>42172</v>
      </c>
      <c r="T1808" s="34">
        <v>42177</v>
      </c>
      <c r="U1808" s="29">
        <v>-25.111999999999998</v>
      </c>
      <c r="V1808" s="26">
        <v>14</v>
      </c>
      <c r="W1808" s="29">
        <v>149.32</v>
      </c>
      <c r="X1808" s="26">
        <v>87584</v>
      </c>
      <c r="Y1808" s="35">
        <v>7.93</v>
      </c>
      <c r="Z1808" s="1" t="s">
        <v>3013</v>
      </c>
      <c r="AA1808" s="36">
        <v>9.1476000000000006</v>
      </c>
      <c r="AB1808" s="54">
        <v>61.221200000000003</v>
      </c>
      <c r="AC1808" s="54">
        <v>6.2927714285714282</v>
      </c>
      <c r="AD1808" s="36">
        <v>160.78440000000001</v>
      </c>
    </row>
    <row r="1809" spans="1:30" s="37" customFormat="1" ht="15.75" customHeight="1" x14ac:dyDescent="0.2">
      <c r="A1809" s="26">
        <v>3098</v>
      </c>
      <c r="B1809" s="27" t="s">
        <v>1420</v>
      </c>
      <c r="C1809" s="27" t="s">
        <v>48</v>
      </c>
      <c r="D1809" s="28">
        <v>0</v>
      </c>
      <c r="E1809" s="29">
        <v>11.7</v>
      </c>
      <c r="F1809" s="29">
        <v>6.96</v>
      </c>
      <c r="G1809" s="30" t="s">
        <v>87</v>
      </c>
      <c r="H1809" s="27" t="s">
        <v>40</v>
      </c>
      <c r="I1809" s="27" t="s">
        <v>49</v>
      </c>
      <c r="J1809" s="27" t="s">
        <v>95</v>
      </c>
      <c r="K1809" s="27" t="s">
        <v>144</v>
      </c>
      <c r="L1809" s="31" t="s">
        <v>760</v>
      </c>
      <c r="M1809" s="32">
        <v>0.5</v>
      </c>
      <c r="N1809" s="27" t="s">
        <v>33</v>
      </c>
      <c r="O1809" s="27" t="s">
        <v>111</v>
      </c>
      <c r="P1809" s="27" t="s">
        <v>112</v>
      </c>
      <c r="Q1809" s="27" t="s">
        <v>1421</v>
      </c>
      <c r="R1809" s="33">
        <v>11967</v>
      </c>
      <c r="S1809" s="34">
        <v>42172</v>
      </c>
      <c r="T1809" s="34">
        <v>42174</v>
      </c>
      <c r="U1809" s="29">
        <v>-11.247999999999999</v>
      </c>
      <c r="V1809" s="26">
        <v>10</v>
      </c>
      <c r="W1809" s="29">
        <v>131.69</v>
      </c>
      <c r="X1809" s="26">
        <v>89315</v>
      </c>
      <c r="Y1809" s="35">
        <v>10.610000000000001</v>
      </c>
      <c r="Z1809" s="1" t="s">
        <v>3014</v>
      </c>
      <c r="AA1809" s="36">
        <v>0</v>
      </c>
      <c r="AB1809" s="54">
        <v>65.844999999999999</v>
      </c>
      <c r="AC1809" s="54">
        <v>6.5845000000000002</v>
      </c>
      <c r="AD1809" s="36">
        <v>135.97800000000001</v>
      </c>
    </row>
    <row r="1810" spans="1:30" s="37" customFormat="1" ht="15.75" customHeight="1" x14ac:dyDescent="0.2">
      <c r="A1810" s="26">
        <v>317</v>
      </c>
      <c r="B1810" s="27" t="s">
        <v>2900</v>
      </c>
      <c r="C1810" s="27" t="s">
        <v>3094</v>
      </c>
      <c r="D1810" s="28">
        <v>0.04</v>
      </c>
      <c r="E1810" s="29">
        <v>5.98</v>
      </c>
      <c r="F1810" s="29">
        <v>5.15</v>
      </c>
      <c r="G1810" s="30" t="s">
        <v>39</v>
      </c>
      <c r="H1810" s="27" t="s">
        <v>94</v>
      </c>
      <c r="I1810" s="27" t="s">
        <v>49</v>
      </c>
      <c r="J1810" s="27" t="s">
        <v>88</v>
      </c>
      <c r="K1810" s="27" t="s">
        <v>73</v>
      </c>
      <c r="L1810" s="31" t="s">
        <v>2468</v>
      </c>
      <c r="M1810" s="32">
        <v>0.36</v>
      </c>
      <c r="N1810" s="27" t="s">
        <v>33</v>
      </c>
      <c r="O1810" s="27" t="s">
        <v>60</v>
      </c>
      <c r="P1810" s="27" t="s">
        <v>90</v>
      </c>
      <c r="Q1810" s="27" t="s">
        <v>2901</v>
      </c>
      <c r="R1810" s="33">
        <v>91945</v>
      </c>
      <c r="S1810" s="34">
        <v>42172</v>
      </c>
      <c r="T1810" s="34">
        <v>42173</v>
      </c>
      <c r="U1810" s="29">
        <v>-52.344000000000001</v>
      </c>
      <c r="V1810" s="26">
        <v>17</v>
      </c>
      <c r="W1810" s="29">
        <v>103.49</v>
      </c>
      <c r="X1810" s="26">
        <v>86041</v>
      </c>
      <c r="Y1810" s="35">
        <v>7.93</v>
      </c>
      <c r="Z1810" s="1" t="s">
        <v>3013</v>
      </c>
      <c r="AA1810" s="36">
        <v>4.0664000000000007</v>
      </c>
      <c r="AB1810" s="54">
        <v>66.233599999999996</v>
      </c>
      <c r="AC1810" s="54">
        <v>2.1915529411764703</v>
      </c>
      <c r="AD1810" s="36">
        <v>146.61759999999998</v>
      </c>
    </row>
    <row r="1811" spans="1:30" s="37" customFormat="1" ht="15.75" customHeight="1" x14ac:dyDescent="0.2">
      <c r="A1811" s="26">
        <v>317</v>
      </c>
      <c r="B1811" s="27" t="s">
        <v>2900</v>
      </c>
      <c r="C1811" s="27" t="s">
        <v>3094</v>
      </c>
      <c r="D1811" s="28">
        <v>0.09</v>
      </c>
      <c r="E1811" s="29">
        <v>7.38</v>
      </c>
      <c r="F1811" s="29">
        <v>5.21</v>
      </c>
      <c r="G1811" s="30" t="s">
        <v>39</v>
      </c>
      <c r="H1811" s="27" t="s">
        <v>94</v>
      </c>
      <c r="I1811" s="27" t="s">
        <v>29</v>
      </c>
      <c r="J1811" s="27" t="s">
        <v>126</v>
      </c>
      <c r="K1811" s="27" t="s">
        <v>73</v>
      </c>
      <c r="L1811" s="31" t="s">
        <v>1917</v>
      </c>
      <c r="M1811" s="32">
        <v>0.56000000000000005</v>
      </c>
      <c r="N1811" s="27" t="s">
        <v>33</v>
      </c>
      <c r="O1811" s="27" t="s">
        <v>60</v>
      </c>
      <c r="P1811" s="27" t="s">
        <v>90</v>
      </c>
      <c r="Q1811" s="27" t="s">
        <v>2901</v>
      </c>
      <c r="R1811" s="33">
        <v>91945</v>
      </c>
      <c r="S1811" s="34">
        <v>42172</v>
      </c>
      <c r="T1811" s="34">
        <v>42173</v>
      </c>
      <c r="U1811" s="29">
        <v>-27.16</v>
      </c>
      <c r="V1811" s="26">
        <v>9</v>
      </c>
      <c r="W1811" s="29">
        <v>66.55</v>
      </c>
      <c r="X1811" s="26">
        <v>86041</v>
      </c>
      <c r="Y1811" s="35">
        <v>11.7</v>
      </c>
      <c r="Z1811" s="1" t="s">
        <v>3013</v>
      </c>
      <c r="AA1811" s="36">
        <v>5.9778000000000002</v>
      </c>
      <c r="AB1811" s="54">
        <v>29.281999999999996</v>
      </c>
      <c r="AC1811" s="54">
        <v>4.1408888888888891</v>
      </c>
      <c r="AD1811" s="36">
        <v>82.522199999999998</v>
      </c>
    </row>
    <row r="1812" spans="1:30" s="37" customFormat="1" ht="15.75" customHeight="1" x14ac:dyDescent="0.2">
      <c r="A1812" s="26">
        <v>286</v>
      </c>
      <c r="B1812" s="27" t="s">
        <v>2893</v>
      </c>
      <c r="C1812" s="27" t="s">
        <v>48</v>
      </c>
      <c r="D1812" s="28">
        <v>0</v>
      </c>
      <c r="E1812" s="29">
        <v>4.13</v>
      </c>
      <c r="F1812" s="29">
        <v>5.34</v>
      </c>
      <c r="G1812" s="30" t="s">
        <v>39</v>
      </c>
      <c r="H1812" s="27" t="s">
        <v>3095</v>
      </c>
      <c r="I1812" s="27" t="s">
        <v>49</v>
      </c>
      <c r="J1812" s="27" t="s">
        <v>72</v>
      </c>
      <c r="K1812" s="27" t="s">
        <v>73</v>
      </c>
      <c r="L1812" s="31" t="s">
        <v>2894</v>
      </c>
      <c r="M1812" s="32">
        <v>0.38</v>
      </c>
      <c r="N1812" s="27" t="s">
        <v>33</v>
      </c>
      <c r="O1812" s="27" t="s">
        <v>53</v>
      </c>
      <c r="P1812" s="27" t="s">
        <v>537</v>
      </c>
      <c r="Q1812" s="27" t="s">
        <v>2895</v>
      </c>
      <c r="R1812" s="33">
        <v>66203</v>
      </c>
      <c r="S1812" s="34">
        <v>42172</v>
      </c>
      <c r="T1812" s="34">
        <v>42176</v>
      </c>
      <c r="U1812" s="29">
        <v>-61.87</v>
      </c>
      <c r="V1812" s="26">
        <v>9</v>
      </c>
      <c r="W1812" s="29">
        <v>40.950000000000003</v>
      </c>
      <c r="X1812" s="26">
        <v>89761</v>
      </c>
      <c r="Y1812" s="35">
        <v>2.5100000000000002</v>
      </c>
      <c r="Z1812" s="1" t="s">
        <v>3012</v>
      </c>
      <c r="AA1812" s="36">
        <v>0</v>
      </c>
      <c r="AB1812" s="54">
        <v>25.389000000000003</v>
      </c>
      <c r="AC1812" s="54">
        <v>1.7290000000000003</v>
      </c>
      <c r="AD1812" s="36">
        <v>97.48</v>
      </c>
    </row>
    <row r="1813" spans="1:30" s="37" customFormat="1" ht="15.75" customHeight="1" x14ac:dyDescent="0.2">
      <c r="A1813" s="26">
        <v>1189</v>
      </c>
      <c r="B1813" s="27" t="s">
        <v>2899</v>
      </c>
      <c r="C1813" s="27" t="s">
        <v>48</v>
      </c>
      <c r="D1813" s="28">
        <v>0.03</v>
      </c>
      <c r="E1813" s="29">
        <v>7.96</v>
      </c>
      <c r="F1813" s="29">
        <v>4.95</v>
      </c>
      <c r="G1813" s="30" t="s">
        <v>39</v>
      </c>
      <c r="H1813" s="27" t="s">
        <v>40</v>
      </c>
      <c r="I1813" s="27" t="s">
        <v>29</v>
      </c>
      <c r="J1813" s="27" t="s">
        <v>126</v>
      </c>
      <c r="K1813" s="27" t="s">
        <v>73</v>
      </c>
      <c r="L1813" s="31" t="s">
        <v>811</v>
      </c>
      <c r="M1813" s="32">
        <v>0.41</v>
      </c>
      <c r="N1813" s="27" t="s">
        <v>33</v>
      </c>
      <c r="O1813" s="27" t="s">
        <v>60</v>
      </c>
      <c r="P1813" s="27" t="s">
        <v>90</v>
      </c>
      <c r="Q1813" s="27" t="s">
        <v>2096</v>
      </c>
      <c r="R1813" s="33">
        <v>92646</v>
      </c>
      <c r="S1813" s="34">
        <v>42172</v>
      </c>
      <c r="T1813" s="34">
        <v>42174</v>
      </c>
      <c r="U1813" s="29">
        <v>24.260400000000001</v>
      </c>
      <c r="V1813" s="26">
        <v>4</v>
      </c>
      <c r="W1813" s="29">
        <v>35.159999999999997</v>
      </c>
      <c r="X1813" s="26">
        <v>87584</v>
      </c>
      <c r="Y1813" s="35">
        <v>7.29</v>
      </c>
      <c r="Z1813" s="1" t="s">
        <v>3013</v>
      </c>
      <c r="AA1813" s="36">
        <v>0.95519999999999994</v>
      </c>
      <c r="AB1813" s="54">
        <v>20.744400000000002</v>
      </c>
      <c r="AC1813" s="54">
        <v>3.6038999999999994</v>
      </c>
      <c r="AD1813" s="36">
        <v>4.9943999999999953</v>
      </c>
    </row>
    <row r="1814" spans="1:30" s="37" customFormat="1" ht="15.75" customHeight="1" x14ac:dyDescent="0.2">
      <c r="A1814" s="26">
        <v>907</v>
      </c>
      <c r="B1814" s="27" t="s">
        <v>1371</v>
      </c>
      <c r="C1814" s="27" t="s">
        <v>116</v>
      </c>
      <c r="D1814" s="28">
        <v>0.09</v>
      </c>
      <c r="E1814" s="29">
        <v>2.6</v>
      </c>
      <c r="F1814" s="29">
        <v>2.4</v>
      </c>
      <c r="G1814" s="30" t="s">
        <v>39</v>
      </c>
      <c r="H1814" s="27" t="s">
        <v>71</v>
      </c>
      <c r="I1814" s="27" t="s">
        <v>49</v>
      </c>
      <c r="J1814" s="27" t="s">
        <v>50</v>
      </c>
      <c r="K1814" s="27" t="s">
        <v>51</v>
      </c>
      <c r="L1814" s="31" t="s">
        <v>356</v>
      </c>
      <c r="M1814" s="32">
        <v>0.57999999999999996</v>
      </c>
      <c r="N1814" s="27" t="s">
        <v>33</v>
      </c>
      <c r="O1814" s="27" t="s">
        <v>34</v>
      </c>
      <c r="P1814" s="27" t="s">
        <v>388</v>
      </c>
      <c r="Q1814" s="27" t="s">
        <v>466</v>
      </c>
      <c r="R1814" s="33">
        <v>42420</v>
      </c>
      <c r="S1814" s="34">
        <v>42172</v>
      </c>
      <c r="T1814" s="34">
        <v>42174</v>
      </c>
      <c r="U1814" s="29">
        <v>1107.4079999999999</v>
      </c>
      <c r="V1814" s="26">
        <v>12</v>
      </c>
      <c r="W1814" s="29">
        <v>31.73</v>
      </c>
      <c r="X1814" s="26">
        <v>86460</v>
      </c>
      <c r="Y1814" s="35">
        <v>5.94</v>
      </c>
      <c r="Z1814" s="1" t="s">
        <v>3011</v>
      </c>
      <c r="AA1814" s="36">
        <v>2.8079999999999998</v>
      </c>
      <c r="AB1814" s="54">
        <v>13.326600000000001</v>
      </c>
      <c r="AC1814" s="54">
        <v>1.5336166666666664</v>
      </c>
      <c r="AD1814" s="36">
        <v>-1080.886</v>
      </c>
    </row>
    <row r="1815" spans="1:30" s="37" customFormat="1" ht="15.75" customHeight="1" x14ac:dyDescent="0.2">
      <c r="A1815" s="26">
        <v>283</v>
      </c>
      <c r="B1815" s="27" t="s">
        <v>2892</v>
      </c>
      <c r="C1815" s="27" t="s">
        <v>38</v>
      </c>
      <c r="D1815" s="28">
        <v>0.1</v>
      </c>
      <c r="E1815" s="29">
        <v>1.68</v>
      </c>
      <c r="F1815" s="29">
        <v>1.57</v>
      </c>
      <c r="G1815" s="30" t="s">
        <v>39</v>
      </c>
      <c r="H1815" s="27" t="s">
        <v>94</v>
      </c>
      <c r="I1815" s="27" t="s">
        <v>49</v>
      </c>
      <c r="J1815" s="27" t="s">
        <v>50</v>
      </c>
      <c r="K1815" s="27" t="s">
        <v>51</v>
      </c>
      <c r="L1815" s="31" t="s">
        <v>574</v>
      </c>
      <c r="M1815" s="32">
        <v>0.59</v>
      </c>
      <c r="N1815" s="27" t="s">
        <v>33</v>
      </c>
      <c r="O1815" s="27" t="s">
        <v>111</v>
      </c>
      <c r="P1815" s="27" t="s">
        <v>397</v>
      </c>
      <c r="Q1815" s="27" t="s">
        <v>2725</v>
      </c>
      <c r="R1815" s="33">
        <v>7101</v>
      </c>
      <c r="S1815" s="34">
        <v>42172</v>
      </c>
      <c r="T1815" s="34">
        <v>42173</v>
      </c>
      <c r="U1815" s="29">
        <v>-11.57</v>
      </c>
      <c r="V1815" s="26">
        <v>11</v>
      </c>
      <c r="W1815" s="29">
        <v>18.71</v>
      </c>
      <c r="X1815" s="26">
        <v>89293</v>
      </c>
      <c r="Y1815" s="35">
        <v>15.38</v>
      </c>
      <c r="Z1815" s="1" t="s">
        <v>3014</v>
      </c>
      <c r="AA1815" s="36">
        <v>1.8480000000000001</v>
      </c>
      <c r="AB1815" s="54">
        <v>7.6711000000000009</v>
      </c>
      <c r="AC1815" s="54">
        <v>1.0035363636363637</v>
      </c>
      <c r="AD1815" s="36">
        <v>26.862000000000002</v>
      </c>
    </row>
    <row r="1816" spans="1:30" s="37" customFormat="1" ht="15.75" customHeight="1" x14ac:dyDescent="0.2">
      <c r="A1816" s="26">
        <v>553</v>
      </c>
      <c r="B1816" s="27" t="s">
        <v>851</v>
      </c>
      <c r="C1816" s="27" t="s">
        <v>116</v>
      </c>
      <c r="D1816" s="28">
        <v>0.08</v>
      </c>
      <c r="E1816" s="29">
        <v>124.49</v>
      </c>
      <c r="F1816" s="29">
        <v>51.94</v>
      </c>
      <c r="G1816" s="30" t="s">
        <v>27</v>
      </c>
      <c r="H1816" s="27" t="s">
        <v>94</v>
      </c>
      <c r="I1816" s="27" t="s">
        <v>29</v>
      </c>
      <c r="J1816" s="27" t="s">
        <v>30</v>
      </c>
      <c r="K1816" s="27" t="s">
        <v>31</v>
      </c>
      <c r="L1816" s="31" t="s">
        <v>1149</v>
      </c>
      <c r="M1816" s="32">
        <v>0.63</v>
      </c>
      <c r="N1816" s="27" t="s">
        <v>33</v>
      </c>
      <c r="O1816" s="27" t="s">
        <v>60</v>
      </c>
      <c r="P1816" s="27" t="s">
        <v>90</v>
      </c>
      <c r="Q1816" s="27" t="s">
        <v>100</v>
      </c>
      <c r="R1816" s="33">
        <v>90008</v>
      </c>
      <c r="S1816" s="34">
        <v>42173</v>
      </c>
      <c r="T1816" s="34">
        <v>42174</v>
      </c>
      <c r="U1816" s="29">
        <v>-500.38</v>
      </c>
      <c r="V1816" s="26">
        <v>56</v>
      </c>
      <c r="W1816" s="29">
        <v>6831.37</v>
      </c>
      <c r="X1816" s="26">
        <v>359</v>
      </c>
      <c r="Y1816" s="35">
        <v>15.940000000000001</v>
      </c>
      <c r="Z1816" s="1" t="s">
        <v>3013</v>
      </c>
      <c r="AA1816" s="36">
        <v>557.71519999999998</v>
      </c>
      <c r="AB1816" s="54">
        <v>2527.6068999999998</v>
      </c>
      <c r="AC1816" s="54">
        <v>76.852912500000002</v>
      </c>
      <c r="AD1816" s="36">
        <v>6722.0947999999999</v>
      </c>
    </row>
    <row r="1817" spans="1:30" s="37" customFormat="1" ht="15.75" customHeight="1" x14ac:dyDescent="0.2">
      <c r="A1817" s="26">
        <v>555</v>
      </c>
      <c r="B1817" s="27" t="s">
        <v>1300</v>
      </c>
      <c r="C1817" s="27" t="s">
        <v>116</v>
      </c>
      <c r="D1817" s="28">
        <v>0.08</v>
      </c>
      <c r="E1817" s="29">
        <v>124.49</v>
      </c>
      <c r="F1817" s="29">
        <v>51.94</v>
      </c>
      <c r="G1817" s="30" t="s">
        <v>27</v>
      </c>
      <c r="H1817" s="27" t="s">
        <v>94</v>
      </c>
      <c r="I1817" s="27" t="s">
        <v>29</v>
      </c>
      <c r="J1817" s="27" t="s">
        <v>30</v>
      </c>
      <c r="K1817" s="27" t="s">
        <v>31</v>
      </c>
      <c r="L1817" s="31" t="s">
        <v>1149</v>
      </c>
      <c r="M1817" s="32">
        <v>0.63</v>
      </c>
      <c r="N1817" s="27" t="s">
        <v>33</v>
      </c>
      <c r="O1817" s="27" t="s">
        <v>60</v>
      </c>
      <c r="P1817" s="27" t="s">
        <v>146</v>
      </c>
      <c r="Q1817" s="27" t="s">
        <v>1301</v>
      </c>
      <c r="R1817" s="33">
        <v>84062</v>
      </c>
      <c r="S1817" s="34">
        <v>42173</v>
      </c>
      <c r="T1817" s="34">
        <v>42174</v>
      </c>
      <c r="U1817" s="29">
        <v>-250.19</v>
      </c>
      <c r="V1817" s="26">
        <v>14</v>
      </c>
      <c r="W1817" s="29">
        <v>1707.84</v>
      </c>
      <c r="X1817" s="26">
        <v>86192</v>
      </c>
      <c r="Y1817" s="35">
        <v>22.78</v>
      </c>
      <c r="Z1817" s="1" t="s">
        <v>3013</v>
      </c>
      <c r="AA1817" s="36">
        <v>139.4288</v>
      </c>
      <c r="AB1817" s="54">
        <v>631.9008</v>
      </c>
      <c r="AC1817" s="54">
        <v>76.852799999999988</v>
      </c>
      <c r="AD1817" s="36">
        <v>1766.6612</v>
      </c>
    </row>
    <row r="1818" spans="1:30" s="37" customFormat="1" ht="15.75" customHeight="1" x14ac:dyDescent="0.2">
      <c r="A1818" s="26">
        <v>152</v>
      </c>
      <c r="B1818" s="27" t="s">
        <v>505</v>
      </c>
      <c r="C1818" s="27" t="s">
        <v>48</v>
      </c>
      <c r="D1818" s="28">
        <v>0.1</v>
      </c>
      <c r="E1818" s="29">
        <v>39.979999999999997</v>
      </c>
      <c r="F1818" s="29">
        <v>4</v>
      </c>
      <c r="G1818" s="30" t="s">
        <v>39</v>
      </c>
      <c r="H1818" s="27" t="s">
        <v>3095</v>
      </c>
      <c r="I1818" s="27" t="s">
        <v>41</v>
      </c>
      <c r="J1818" s="27" t="s">
        <v>42</v>
      </c>
      <c r="K1818" s="27" t="s">
        <v>73</v>
      </c>
      <c r="L1818" s="31" t="s">
        <v>1927</v>
      </c>
      <c r="M1818" s="32">
        <v>0.7</v>
      </c>
      <c r="N1818" s="27" t="s">
        <v>33</v>
      </c>
      <c r="O1818" s="27" t="s">
        <v>34</v>
      </c>
      <c r="P1818" s="27" t="s">
        <v>400</v>
      </c>
      <c r="Q1818" s="27" t="s">
        <v>507</v>
      </c>
      <c r="R1818" s="33">
        <v>37918</v>
      </c>
      <c r="S1818" s="34">
        <v>42173</v>
      </c>
      <c r="T1818" s="34">
        <v>42177</v>
      </c>
      <c r="U1818" s="29">
        <v>360.24</v>
      </c>
      <c r="V1818" s="26">
        <v>21</v>
      </c>
      <c r="W1818" s="29">
        <v>772.56</v>
      </c>
      <c r="X1818" s="26">
        <v>89525</v>
      </c>
      <c r="Y1818" s="35">
        <v>39.879999999999995</v>
      </c>
      <c r="Z1818" s="1" t="s">
        <v>3011</v>
      </c>
      <c r="AA1818" s="36">
        <v>83.957999999999998</v>
      </c>
      <c r="AB1818" s="54">
        <v>231.76800000000003</v>
      </c>
      <c r="AC1818" s="54">
        <v>25.751999999999995</v>
      </c>
      <c r="AD1818" s="36">
        <v>324.36199999999997</v>
      </c>
    </row>
    <row r="1819" spans="1:30" s="37" customFormat="1" ht="15.75" customHeight="1" x14ac:dyDescent="0.2">
      <c r="A1819" s="26">
        <v>395</v>
      </c>
      <c r="B1819" s="27" t="s">
        <v>2902</v>
      </c>
      <c r="C1819" s="27" t="s">
        <v>26</v>
      </c>
      <c r="D1819" s="28">
        <v>0.06</v>
      </c>
      <c r="E1819" s="29">
        <v>22.84</v>
      </c>
      <c r="F1819" s="29">
        <v>5.47</v>
      </c>
      <c r="G1819" s="30" t="s">
        <v>39</v>
      </c>
      <c r="H1819" s="27" t="s">
        <v>94</v>
      </c>
      <c r="I1819" s="27" t="s">
        <v>49</v>
      </c>
      <c r="J1819" s="27" t="s">
        <v>88</v>
      </c>
      <c r="K1819" s="27" t="s">
        <v>73</v>
      </c>
      <c r="L1819" s="31" t="s">
        <v>2904</v>
      </c>
      <c r="M1819" s="32">
        <v>0.39</v>
      </c>
      <c r="N1819" s="27" t="s">
        <v>33</v>
      </c>
      <c r="O1819" s="27" t="s">
        <v>34</v>
      </c>
      <c r="P1819" s="27" t="s">
        <v>97</v>
      </c>
      <c r="Q1819" s="27" t="s">
        <v>2903</v>
      </c>
      <c r="R1819" s="33">
        <v>28001</v>
      </c>
      <c r="S1819" s="34">
        <v>42173</v>
      </c>
      <c r="T1819" s="34">
        <v>42175</v>
      </c>
      <c r="U1819" s="29">
        <v>7.44</v>
      </c>
      <c r="V1819" s="26">
        <v>20</v>
      </c>
      <c r="W1819" s="29">
        <v>461.94</v>
      </c>
      <c r="X1819" s="26">
        <v>86384</v>
      </c>
      <c r="Y1819" s="35">
        <v>30.89</v>
      </c>
      <c r="Z1819" s="1" t="s">
        <v>3011</v>
      </c>
      <c r="AA1819" s="36">
        <v>27.407999999999998</v>
      </c>
      <c r="AB1819" s="54">
        <v>281.78339999999997</v>
      </c>
      <c r="AC1819" s="54">
        <v>9.0078300000000002</v>
      </c>
      <c r="AD1819" s="36">
        <v>421.62200000000001</v>
      </c>
    </row>
    <row r="1820" spans="1:30" s="37" customFormat="1" ht="15.75" customHeight="1" x14ac:dyDescent="0.2">
      <c r="A1820" s="26">
        <v>1958</v>
      </c>
      <c r="B1820" s="27" t="s">
        <v>2905</v>
      </c>
      <c r="C1820" s="27" t="s">
        <v>48</v>
      </c>
      <c r="D1820" s="28">
        <v>0.09</v>
      </c>
      <c r="E1820" s="29">
        <v>30.98</v>
      </c>
      <c r="F1820" s="29">
        <v>6.5</v>
      </c>
      <c r="G1820" s="30" t="s">
        <v>87</v>
      </c>
      <c r="H1820" s="27" t="s">
        <v>40</v>
      </c>
      <c r="I1820" s="27" t="s">
        <v>41</v>
      </c>
      <c r="J1820" s="27" t="s">
        <v>42</v>
      </c>
      <c r="K1820" s="27" t="s">
        <v>73</v>
      </c>
      <c r="L1820" s="31" t="s">
        <v>2521</v>
      </c>
      <c r="M1820" s="32">
        <v>0.64</v>
      </c>
      <c r="N1820" s="27" t="s">
        <v>33</v>
      </c>
      <c r="O1820" s="27" t="s">
        <v>60</v>
      </c>
      <c r="P1820" s="27" t="s">
        <v>139</v>
      </c>
      <c r="Q1820" s="27" t="s">
        <v>1728</v>
      </c>
      <c r="R1820" s="33">
        <v>97068</v>
      </c>
      <c r="S1820" s="34">
        <v>42173</v>
      </c>
      <c r="T1820" s="34">
        <v>42177</v>
      </c>
      <c r="U1820" s="29">
        <v>-55.97</v>
      </c>
      <c r="V1820" s="26">
        <v>7</v>
      </c>
      <c r="W1820" s="29">
        <v>204.34</v>
      </c>
      <c r="X1820" s="26">
        <v>89819</v>
      </c>
      <c r="Y1820" s="35">
        <v>12.13</v>
      </c>
      <c r="Z1820" s="1" t="s">
        <v>3013</v>
      </c>
      <c r="AA1820" s="36">
        <v>19.517399999999999</v>
      </c>
      <c r="AB1820" s="54">
        <v>73.562399999999997</v>
      </c>
      <c r="AC1820" s="54">
        <v>18.682514285714287</v>
      </c>
      <c r="AD1820" s="36">
        <v>234.29259999999999</v>
      </c>
    </row>
    <row r="1821" spans="1:30" s="37" customFormat="1" ht="15.75" customHeight="1" x14ac:dyDescent="0.2">
      <c r="A1821" s="26">
        <v>2954</v>
      </c>
      <c r="B1821" s="27" t="s">
        <v>2906</v>
      </c>
      <c r="C1821" s="27" t="s">
        <v>48</v>
      </c>
      <c r="D1821" s="28">
        <v>0.09</v>
      </c>
      <c r="E1821" s="29">
        <v>12.22</v>
      </c>
      <c r="F1821" s="29">
        <v>2.85</v>
      </c>
      <c r="G1821" s="30" t="s">
        <v>39</v>
      </c>
      <c r="H1821" s="27" t="s">
        <v>40</v>
      </c>
      <c r="I1821" s="27" t="s">
        <v>29</v>
      </c>
      <c r="J1821" s="27" t="s">
        <v>126</v>
      </c>
      <c r="K1821" s="27" t="s">
        <v>43</v>
      </c>
      <c r="L1821" s="31" t="s">
        <v>2086</v>
      </c>
      <c r="M1821" s="32">
        <v>0.55000000000000004</v>
      </c>
      <c r="N1821" s="27" t="s">
        <v>33</v>
      </c>
      <c r="O1821" s="27" t="s">
        <v>53</v>
      </c>
      <c r="P1821" s="27" t="s">
        <v>84</v>
      </c>
      <c r="Q1821" s="27" t="s">
        <v>2907</v>
      </c>
      <c r="R1821" s="33">
        <v>55119</v>
      </c>
      <c r="S1821" s="34">
        <v>42173</v>
      </c>
      <c r="T1821" s="34">
        <v>42180</v>
      </c>
      <c r="U1821" s="29">
        <v>70.676699999999997</v>
      </c>
      <c r="V1821" s="26">
        <v>9</v>
      </c>
      <c r="W1821" s="29">
        <v>102.43</v>
      </c>
      <c r="X1821" s="26">
        <v>86427</v>
      </c>
      <c r="Y1821" s="35">
        <v>124.41</v>
      </c>
      <c r="Z1821" s="1" t="s">
        <v>3012</v>
      </c>
      <c r="AA1821" s="36">
        <v>9.898200000000001</v>
      </c>
      <c r="AB1821" s="54">
        <v>46.093499999999999</v>
      </c>
      <c r="AC1821" s="54">
        <v>6.2596111111111119</v>
      </c>
      <c r="AD1821" s="36">
        <v>19.005100000000013</v>
      </c>
    </row>
    <row r="1822" spans="1:30" s="37" customFormat="1" ht="15.75" customHeight="1" x14ac:dyDescent="0.2">
      <c r="A1822" s="26">
        <v>395</v>
      </c>
      <c r="B1822" s="27" t="s">
        <v>2902</v>
      </c>
      <c r="C1822" s="27" t="s">
        <v>26</v>
      </c>
      <c r="D1822" s="28">
        <v>0.04</v>
      </c>
      <c r="E1822" s="29">
        <v>15.98</v>
      </c>
      <c r="F1822" s="29">
        <v>4</v>
      </c>
      <c r="G1822" s="30" t="s">
        <v>39</v>
      </c>
      <c r="H1822" s="27" t="s">
        <v>94</v>
      </c>
      <c r="I1822" s="27" t="s">
        <v>41</v>
      </c>
      <c r="J1822" s="27" t="s">
        <v>42</v>
      </c>
      <c r="K1822" s="27" t="s">
        <v>73</v>
      </c>
      <c r="L1822" s="31" t="s">
        <v>1882</v>
      </c>
      <c r="M1822" s="32">
        <v>0.37</v>
      </c>
      <c r="N1822" s="27" t="s">
        <v>33</v>
      </c>
      <c r="O1822" s="27" t="s">
        <v>34</v>
      </c>
      <c r="P1822" s="27" t="s">
        <v>97</v>
      </c>
      <c r="Q1822" s="27" t="s">
        <v>2903</v>
      </c>
      <c r="R1822" s="33">
        <v>28001</v>
      </c>
      <c r="S1822" s="34">
        <v>42173</v>
      </c>
      <c r="T1822" s="34">
        <v>42174</v>
      </c>
      <c r="U1822" s="29">
        <v>-19.207999999999998</v>
      </c>
      <c r="V1822" s="26">
        <v>4</v>
      </c>
      <c r="W1822" s="29">
        <v>64.59</v>
      </c>
      <c r="X1822" s="26">
        <v>86384</v>
      </c>
      <c r="Y1822" s="35">
        <v>124.41</v>
      </c>
      <c r="Z1822" s="1" t="s">
        <v>3011</v>
      </c>
      <c r="AA1822" s="36">
        <v>2.5568</v>
      </c>
      <c r="AB1822" s="54">
        <v>40.691700000000004</v>
      </c>
      <c r="AC1822" s="54">
        <v>5.9745750000000006</v>
      </c>
      <c r="AD1822" s="36">
        <v>77.241200000000006</v>
      </c>
    </row>
    <row r="1823" spans="1:30" s="37" customFormat="1" ht="15.75" customHeight="1" x14ac:dyDescent="0.2">
      <c r="A1823" s="26">
        <v>2016</v>
      </c>
      <c r="B1823" s="27" t="s">
        <v>2908</v>
      </c>
      <c r="C1823" s="27" t="s">
        <v>116</v>
      </c>
      <c r="D1823" s="28">
        <v>0.1</v>
      </c>
      <c r="E1823" s="29">
        <v>10.48</v>
      </c>
      <c r="F1823" s="29">
        <v>2.89</v>
      </c>
      <c r="G1823" s="30" t="s">
        <v>39</v>
      </c>
      <c r="H1823" s="27" t="s">
        <v>94</v>
      </c>
      <c r="I1823" s="27" t="s">
        <v>49</v>
      </c>
      <c r="J1823" s="27" t="s">
        <v>50</v>
      </c>
      <c r="K1823" s="27" t="s">
        <v>43</v>
      </c>
      <c r="L1823" s="31" t="s">
        <v>996</v>
      </c>
      <c r="M1823" s="32">
        <v>0.6</v>
      </c>
      <c r="N1823" s="27" t="s">
        <v>33</v>
      </c>
      <c r="O1823" s="27" t="s">
        <v>53</v>
      </c>
      <c r="P1823" s="27" t="s">
        <v>289</v>
      </c>
      <c r="Q1823" s="27" t="s">
        <v>290</v>
      </c>
      <c r="R1823" s="33">
        <v>48195</v>
      </c>
      <c r="S1823" s="34">
        <v>42173</v>
      </c>
      <c r="T1823" s="34">
        <v>42174</v>
      </c>
      <c r="U1823" s="29">
        <v>-8.9039999999999999</v>
      </c>
      <c r="V1823" s="26">
        <v>4</v>
      </c>
      <c r="W1823" s="29">
        <v>40.29</v>
      </c>
      <c r="X1823" s="26">
        <v>86874</v>
      </c>
      <c r="Y1823" s="35">
        <v>10.38</v>
      </c>
      <c r="Z1823" s="1" t="s">
        <v>3012</v>
      </c>
      <c r="AA1823" s="36">
        <v>4.1920000000000002</v>
      </c>
      <c r="AB1823" s="54">
        <v>16.116</v>
      </c>
      <c r="AC1823" s="54">
        <v>6.0434999999999999</v>
      </c>
      <c r="AD1823" s="36">
        <v>42.111999999999995</v>
      </c>
    </row>
    <row r="1824" spans="1:30" s="37" customFormat="1" ht="15.75" customHeight="1" x14ac:dyDescent="0.2">
      <c r="A1824" s="26">
        <v>1009</v>
      </c>
      <c r="B1824" s="27" t="s">
        <v>2910</v>
      </c>
      <c r="C1824" s="27" t="s">
        <v>38</v>
      </c>
      <c r="D1824" s="28">
        <v>0.1</v>
      </c>
      <c r="E1824" s="29">
        <v>550.98</v>
      </c>
      <c r="F1824" s="29">
        <v>45.7</v>
      </c>
      <c r="G1824" s="30" t="s">
        <v>27</v>
      </c>
      <c r="H1824" s="27" t="s">
        <v>94</v>
      </c>
      <c r="I1824" s="27" t="s">
        <v>29</v>
      </c>
      <c r="J1824" s="27" t="s">
        <v>30</v>
      </c>
      <c r="K1824" s="27" t="s">
        <v>31</v>
      </c>
      <c r="L1824" s="31" t="s">
        <v>2911</v>
      </c>
      <c r="M1824" s="32">
        <v>0.71</v>
      </c>
      <c r="N1824" s="27" t="s">
        <v>33</v>
      </c>
      <c r="O1824" s="27" t="s">
        <v>111</v>
      </c>
      <c r="P1824" s="27" t="s">
        <v>331</v>
      </c>
      <c r="Q1824" s="27" t="s">
        <v>2912</v>
      </c>
      <c r="R1824" s="33">
        <v>4072</v>
      </c>
      <c r="S1824" s="34">
        <v>42174</v>
      </c>
      <c r="T1824" s="34">
        <v>42176</v>
      </c>
      <c r="U1824" s="29">
        <v>818.54617499999995</v>
      </c>
      <c r="V1824" s="26">
        <v>14</v>
      </c>
      <c r="W1824" s="29">
        <v>6963.67</v>
      </c>
      <c r="X1824" s="26">
        <v>88372</v>
      </c>
      <c r="Y1824" s="35">
        <v>39.44</v>
      </c>
      <c r="Z1824" s="1" t="s">
        <v>3014</v>
      </c>
      <c r="AA1824" s="36">
        <v>771.37200000000007</v>
      </c>
      <c r="AB1824" s="54">
        <v>2019.4643000000003</v>
      </c>
      <c r="AC1824" s="54">
        <v>353.15755000000001</v>
      </c>
      <c r="AD1824" s="36">
        <v>5328.0518250000005</v>
      </c>
    </row>
    <row r="1825" spans="1:30" s="37" customFormat="1" ht="15.75" customHeight="1" x14ac:dyDescent="0.2">
      <c r="A1825" s="26">
        <v>3167</v>
      </c>
      <c r="B1825" s="27" t="s">
        <v>2916</v>
      </c>
      <c r="C1825" s="27" t="s">
        <v>3094</v>
      </c>
      <c r="D1825" s="28">
        <v>7.0000000000000007E-2</v>
      </c>
      <c r="E1825" s="29">
        <v>280.98</v>
      </c>
      <c r="F1825" s="29">
        <v>57</v>
      </c>
      <c r="G1825" s="30" t="s">
        <v>27</v>
      </c>
      <c r="H1825" s="27" t="s">
        <v>94</v>
      </c>
      <c r="I1825" s="27" t="s">
        <v>29</v>
      </c>
      <c r="J1825" s="27" t="s">
        <v>109</v>
      </c>
      <c r="K1825" s="27" t="s">
        <v>58</v>
      </c>
      <c r="L1825" s="31" t="s">
        <v>862</v>
      </c>
      <c r="M1825" s="32">
        <v>0.78</v>
      </c>
      <c r="N1825" s="27" t="s">
        <v>33</v>
      </c>
      <c r="O1825" s="27" t="s">
        <v>34</v>
      </c>
      <c r="P1825" s="27" t="s">
        <v>123</v>
      </c>
      <c r="Q1825" s="27" t="s">
        <v>2917</v>
      </c>
      <c r="R1825" s="33">
        <v>32004</v>
      </c>
      <c r="S1825" s="34">
        <v>42174</v>
      </c>
      <c r="T1825" s="34">
        <v>42175</v>
      </c>
      <c r="U1825" s="29">
        <v>-283.9914</v>
      </c>
      <c r="V1825" s="26">
        <v>14</v>
      </c>
      <c r="W1825" s="29">
        <v>3936.61</v>
      </c>
      <c r="X1825" s="26">
        <v>86491</v>
      </c>
      <c r="Y1825" s="35">
        <v>3.66</v>
      </c>
      <c r="Z1825" s="1" t="s">
        <v>3011</v>
      </c>
      <c r="AA1825" s="36">
        <v>275.36040000000003</v>
      </c>
      <c r="AB1825" s="54">
        <v>866.05419999999992</v>
      </c>
      <c r="AC1825" s="54">
        <v>219.32541428571429</v>
      </c>
      <c r="AD1825" s="36">
        <v>3888.241</v>
      </c>
    </row>
    <row r="1826" spans="1:30" s="37" customFormat="1" ht="15.75" customHeight="1" x14ac:dyDescent="0.2">
      <c r="A1826" s="26">
        <v>1956</v>
      </c>
      <c r="B1826" s="27" t="s">
        <v>2913</v>
      </c>
      <c r="C1826" s="27" t="s">
        <v>38</v>
      </c>
      <c r="D1826" s="28">
        <v>0.09</v>
      </c>
      <c r="E1826" s="29">
        <v>40.98</v>
      </c>
      <c r="F1826" s="29">
        <v>6.5</v>
      </c>
      <c r="G1826" s="30" t="s">
        <v>39</v>
      </c>
      <c r="H1826" s="27" t="s">
        <v>40</v>
      </c>
      <c r="I1826" s="27" t="s">
        <v>41</v>
      </c>
      <c r="J1826" s="27" t="s">
        <v>42</v>
      </c>
      <c r="K1826" s="27" t="s">
        <v>73</v>
      </c>
      <c r="L1826" s="31" t="s">
        <v>446</v>
      </c>
      <c r="M1826" s="32">
        <v>0.74</v>
      </c>
      <c r="N1826" s="27" t="s">
        <v>33</v>
      </c>
      <c r="O1826" s="27" t="s">
        <v>60</v>
      </c>
      <c r="P1826" s="27" t="s">
        <v>61</v>
      </c>
      <c r="Q1826" s="27" t="s">
        <v>1313</v>
      </c>
      <c r="R1826" s="33">
        <v>80027</v>
      </c>
      <c r="S1826" s="34">
        <v>42174</v>
      </c>
      <c r="T1826" s="34">
        <v>42176</v>
      </c>
      <c r="U1826" s="29">
        <v>-50.244999999999997</v>
      </c>
      <c r="V1826" s="26">
        <v>19</v>
      </c>
      <c r="W1826" s="29">
        <v>746.91</v>
      </c>
      <c r="X1826" s="26">
        <v>89820</v>
      </c>
      <c r="Y1826" s="35">
        <v>550.88</v>
      </c>
      <c r="Z1826" s="1" t="s">
        <v>3013</v>
      </c>
      <c r="AA1826" s="36">
        <v>70.075800000000001</v>
      </c>
      <c r="AB1826" s="54">
        <v>194.19659999999999</v>
      </c>
      <c r="AC1826" s="54">
        <v>29.090178947368418</v>
      </c>
      <c r="AD1826" s="36">
        <v>720.57920000000001</v>
      </c>
    </row>
    <row r="1827" spans="1:30" s="37" customFormat="1" ht="15.75" customHeight="1" x14ac:dyDescent="0.2">
      <c r="A1827" s="26">
        <v>594</v>
      </c>
      <c r="B1827" s="27" t="s">
        <v>1644</v>
      </c>
      <c r="C1827" s="27" t="s">
        <v>26</v>
      </c>
      <c r="D1827" s="28">
        <v>0.04</v>
      </c>
      <c r="E1827" s="29">
        <v>39.479999999999997</v>
      </c>
      <c r="F1827" s="29">
        <v>1.99</v>
      </c>
      <c r="G1827" s="30" t="s">
        <v>39</v>
      </c>
      <c r="H1827" s="27" t="s">
        <v>40</v>
      </c>
      <c r="I1827" s="27" t="s">
        <v>41</v>
      </c>
      <c r="J1827" s="27" t="s">
        <v>42</v>
      </c>
      <c r="K1827" s="27" t="s">
        <v>43</v>
      </c>
      <c r="L1827" s="31" t="s">
        <v>1257</v>
      </c>
      <c r="M1827" s="32">
        <v>0.54</v>
      </c>
      <c r="N1827" s="27" t="s">
        <v>33</v>
      </c>
      <c r="O1827" s="27" t="s">
        <v>53</v>
      </c>
      <c r="P1827" s="27" t="s">
        <v>54</v>
      </c>
      <c r="Q1827" s="27" t="s">
        <v>1645</v>
      </c>
      <c r="R1827" s="33">
        <v>46016</v>
      </c>
      <c r="S1827" s="34">
        <v>42174</v>
      </c>
      <c r="T1827" s="34">
        <v>42177</v>
      </c>
      <c r="U1827" s="29">
        <v>484.8492</v>
      </c>
      <c r="V1827" s="26">
        <v>18</v>
      </c>
      <c r="W1827" s="29">
        <v>702.68</v>
      </c>
      <c r="X1827" s="26">
        <v>86311</v>
      </c>
      <c r="Y1827" s="35">
        <v>40.889999999999993</v>
      </c>
      <c r="Z1827" s="1" t="s">
        <v>3012</v>
      </c>
      <c r="AA1827" s="36">
        <v>28.425599999999999</v>
      </c>
      <c r="AB1827" s="54">
        <v>323.23279999999994</v>
      </c>
      <c r="AC1827" s="54">
        <v>21.080400000000001</v>
      </c>
      <c r="AD1827" s="36">
        <v>187.41519999999991</v>
      </c>
    </row>
    <row r="1828" spans="1:30" s="37" customFormat="1" ht="15.75" customHeight="1" x14ac:dyDescent="0.2">
      <c r="A1828" s="26">
        <v>3138</v>
      </c>
      <c r="B1828" s="27" t="s">
        <v>2914</v>
      </c>
      <c r="C1828" s="27" t="s">
        <v>3094</v>
      </c>
      <c r="D1828" s="28">
        <v>0.05</v>
      </c>
      <c r="E1828" s="29">
        <v>4.0599999999999996</v>
      </c>
      <c r="F1828" s="29">
        <v>6.89</v>
      </c>
      <c r="G1828" s="30" t="s">
        <v>87</v>
      </c>
      <c r="H1828" s="27" t="s">
        <v>94</v>
      </c>
      <c r="I1828" s="27" t="s">
        <v>49</v>
      </c>
      <c r="J1828" s="27" t="s">
        <v>95</v>
      </c>
      <c r="K1828" s="27" t="s">
        <v>73</v>
      </c>
      <c r="L1828" s="31" t="s">
        <v>1271</v>
      </c>
      <c r="M1828" s="32">
        <v>0.6</v>
      </c>
      <c r="N1828" s="27" t="s">
        <v>33</v>
      </c>
      <c r="O1828" s="27" t="s">
        <v>111</v>
      </c>
      <c r="P1828" s="27" t="s">
        <v>1356</v>
      </c>
      <c r="Q1828" s="27" t="s">
        <v>2915</v>
      </c>
      <c r="R1828" s="33">
        <v>3053</v>
      </c>
      <c r="S1828" s="34">
        <v>42174</v>
      </c>
      <c r="T1828" s="34">
        <v>42176</v>
      </c>
      <c r="U1828" s="29">
        <v>-122.83499999999999</v>
      </c>
      <c r="V1828" s="26">
        <v>22</v>
      </c>
      <c r="W1828" s="29">
        <v>92.57</v>
      </c>
      <c r="X1828" s="26">
        <v>86796</v>
      </c>
      <c r="Y1828" s="35">
        <v>14.32</v>
      </c>
      <c r="Z1828" s="1" t="s">
        <v>3014</v>
      </c>
      <c r="AA1828" s="36">
        <v>4.4659999999999993</v>
      </c>
      <c r="AB1828" s="54">
        <v>37.027999999999999</v>
      </c>
      <c r="AC1828" s="54">
        <v>2.5246363636363633</v>
      </c>
      <c r="AD1828" s="36">
        <v>204.04899999999998</v>
      </c>
    </row>
    <row r="1829" spans="1:30" s="37" customFormat="1" ht="15.75" customHeight="1" x14ac:dyDescent="0.2">
      <c r="A1829" s="26">
        <v>3167</v>
      </c>
      <c r="B1829" s="27" t="s">
        <v>2916</v>
      </c>
      <c r="C1829" s="27" t="s">
        <v>3094</v>
      </c>
      <c r="D1829" s="28">
        <v>0</v>
      </c>
      <c r="E1829" s="29">
        <v>4.9800000000000004</v>
      </c>
      <c r="F1829" s="29">
        <v>7.44</v>
      </c>
      <c r="G1829" s="30" t="s">
        <v>39</v>
      </c>
      <c r="H1829" s="27" t="s">
        <v>94</v>
      </c>
      <c r="I1829" s="27" t="s">
        <v>49</v>
      </c>
      <c r="J1829" s="27" t="s">
        <v>88</v>
      </c>
      <c r="K1829" s="27" t="s">
        <v>73</v>
      </c>
      <c r="L1829" s="31" t="s">
        <v>2174</v>
      </c>
      <c r="M1829" s="32">
        <v>0.36</v>
      </c>
      <c r="N1829" s="27" t="s">
        <v>33</v>
      </c>
      <c r="O1829" s="27" t="s">
        <v>34</v>
      </c>
      <c r="P1829" s="27" t="s">
        <v>123</v>
      </c>
      <c r="Q1829" s="27" t="s">
        <v>2917</v>
      </c>
      <c r="R1829" s="33">
        <v>32004</v>
      </c>
      <c r="S1829" s="34">
        <v>42174</v>
      </c>
      <c r="T1829" s="34">
        <v>42176</v>
      </c>
      <c r="U1829" s="29">
        <v>-195.34200000000001</v>
      </c>
      <c r="V1829" s="26">
        <v>15</v>
      </c>
      <c r="W1829" s="29">
        <v>78.31</v>
      </c>
      <c r="X1829" s="26">
        <v>86491</v>
      </c>
      <c r="Y1829" s="35">
        <v>4.9200000000000008</v>
      </c>
      <c r="Z1829" s="1" t="s">
        <v>3011</v>
      </c>
      <c r="AA1829" s="36">
        <v>0</v>
      </c>
      <c r="AB1829" s="54">
        <v>50.118400000000001</v>
      </c>
      <c r="AC1829" s="54">
        <v>1.8794400000000002</v>
      </c>
      <c r="AD1829" s="36">
        <v>266.21199999999999</v>
      </c>
    </row>
    <row r="1830" spans="1:30" s="37" customFormat="1" ht="15.75" customHeight="1" x14ac:dyDescent="0.2">
      <c r="A1830" s="26">
        <v>594</v>
      </c>
      <c r="B1830" s="27" t="s">
        <v>1644</v>
      </c>
      <c r="C1830" s="27" t="s">
        <v>26</v>
      </c>
      <c r="D1830" s="28">
        <v>0.04</v>
      </c>
      <c r="E1830" s="29">
        <v>3.7</v>
      </c>
      <c r="F1830" s="29">
        <v>1.61</v>
      </c>
      <c r="G1830" s="30" t="s">
        <v>39</v>
      </c>
      <c r="H1830" s="27" t="s">
        <v>40</v>
      </c>
      <c r="I1830" s="27" t="s">
        <v>29</v>
      </c>
      <c r="J1830" s="27" t="s">
        <v>126</v>
      </c>
      <c r="K1830" s="27" t="s">
        <v>51</v>
      </c>
      <c r="L1830" s="31" t="s">
        <v>2909</v>
      </c>
      <c r="M1830" s="32">
        <v>0.44</v>
      </c>
      <c r="N1830" s="27" t="s">
        <v>33</v>
      </c>
      <c r="O1830" s="27" t="s">
        <v>53</v>
      </c>
      <c r="P1830" s="27" t="s">
        <v>54</v>
      </c>
      <c r="Q1830" s="27" t="s">
        <v>1645</v>
      </c>
      <c r="R1830" s="33">
        <v>46016</v>
      </c>
      <c r="S1830" s="34">
        <v>42174</v>
      </c>
      <c r="T1830" s="34">
        <v>42175</v>
      </c>
      <c r="U1830" s="29">
        <v>18</v>
      </c>
      <c r="V1830" s="26">
        <v>18</v>
      </c>
      <c r="W1830" s="29">
        <v>67.239999999999995</v>
      </c>
      <c r="X1830" s="26">
        <v>86311</v>
      </c>
      <c r="Y1830" s="35">
        <v>4.01</v>
      </c>
      <c r="Z1830" s="1" t="s">
        <v>3012</v>
      </c>
      <c r="AA1830" s="36">
        <v>2.6640000000000006</v>
      </c>
      <c r="AB1830" s="54">
        <v>37.654400000000003</v>
      </c>
      <c r="AC1830" s="54">
        <v>1.6436444444444442</v>
      </c>
      <c r="AD1830" s="36">
        <v>44.965999999999994</v>
      </c>
    </row>
    <row r="1831" spans="1:30" s="37" customFormat="1" ht="15.75" customHeight="1" x14ac:dyDescent="0.2">
      <c r="A1831" s="26">
        <v>3167</v>
      </c>
      <c r="B1831" s="27" t="s">
        <v>2916</v>
      </c>
      <c r="C1831" s="27" t="s">
        <v>3094</v>
      </c>
      <c r="D1831" s="28">
        <v>0.1</v>
      </c>
      <c r="E1831" s="29">
        <v>3.98</v>
      </c>
      <c r="F1831" s="29">
        <v>0.83</v>
      </c>
      <c r="G1831" s="30" t="s">
        <v>39</v>
      </c>
      <c r="H1831" s="27" t="s">
        <v>94</v>
      </c>
      <c r="I1831" s="27" t="s">
        <v>49</v>
      </c>
      <c r="J1831" s="27" t="s">
        <v>50</v>
      </c>
      <c r="K1831" s="27" t="s">
        <v>51</v>
      </c>
      <c r="L1831" s="31" t="s">
        <v>2785</v>
      </c>
      <c r="M1831" s="32">
        <v>0.51</v>
      </c>
      <c r="N1831" s="27" t="s">
        <v>33</v>
      </c>
      <c r="O1831" s="27" t="s">
        <v>34</v>
      </c>
      <c r="P1831" s="27" t="s">
        <v>123</v>
      </c>
      <c r="Q1831" s="27" t="s">
        <v>2917</v>
      </c>
      <c r="R1831" s="33">
        <v>32004</v>
      </c>
      <c r="S1831" s="34">
        <v>42174</v>
      </c>
      <c r="T1831" s="34">
        <v>42176</v>
      </c>
      <c r="U1831" s="29">
        <v>-89.709199999999996</v>
      </c>
      <c r="V1831" s="26">
        <v>11</v>
      </c>
      <c r="W1831" s="29">
        <v>42.46</v>
      </c>
      <c r="X1831" s="26">
        <v>86491</v>
      </c>
      <c r="Y1831" s="35">
        <v>280.91000000000003</v>
      </c>
      <c r="Z1831" s="1" t="s">
        <v>3011</v>
      </c>
      <c r="AA1831" s="36">
        <v>4.3780000000000001</v>
      </c>
      <c r="AB1831" s="54">
        <v>20.805399999999999</v>
      </c>
      <c r="AC1831" s="54">
        <v>1.9685999999999999</v>
      </c>
      <c r="AD1831" s="36">
        <v>126.96119999999999</v>
      </c>
    </row>
    <row r="1832" spans="1:30" s="37" customFormat="1" ht="15.75" customHeight="1" x14ac:dyDescent="0.2">
      <c r="A1832" s="26">
        <v>2323</v>
      </c>
      <c r="B1832" s="27" t="s">
        <v>1675</v>
      </c>
      <c r="C1832" s="27" t="s">
        <v>3094</v>
      </c>
      <c r="D1832" s="28">
        <v>0.06</v>
      </c>
      <c r="E1832" s="29">
        <v>4.9800000000000004</v>
      </c>
      <c r="F1832" s="29">
        <v>4.62</v>
      </c>
      <c r="G1832" s="30" t="s">
        <v>87</v>
      </c>
      <c r="H1832" s="27" t="s">
        <v>3095</v>
      </c>
      <c r="I1832" s="27" t="s">
        <v>41</v>
      </c>
      <c r="J1832" s="27" t="s">
        <v>42</v>
      </c>
      <c r="K1832" s="27" t="s">
        <v>43</v>
      </c>
      <c r="L1832" s="31" t="s">
        <v>1221</v>
      </c>
      <c r="M1832" s="32">
        <v>0.64</v>
      </c>
      <c r="N1832" s="27" t="s">
        <v>33</v>
      </c>
      <c r="O1832" s="27" t="s">
        <v>60</v>
      </c>
      <c r="P1832" s="27" t="s">
        <v>90</v>
      </c>
      <c r="Q1832" s="27" t="s">
        <v>1214</v>
      </c>
      <c r="R1832" s="33">
        <v>92236</v>
      </c>
      <c r="S1832" s="34">
        <v>42174</v>
      </c>
      <c r="T1832" s="34">
        <v>42174</v>
      </c>
      <c r="U1832" s="29">
        <v>-27.004999999999999</v>
      </c>
      <c r="V1832" s="26">
        <v>7</v>
      </c>
      <c r="W1832" s="29">
        <v>38.74</v>
      </c>
      <c r="X1832" s="26">
        <v>88722</v>
      </c>
      <c r="Y1832" s="35">
        <v>4.9800000000000004</v>
      </c>
      <c r="Z1832" s="1" t="s">
        <v>3013</v>
      </c>
      <c r="AA1832" s="36">
        <v>2.0916000000000001</v>
      </c>
      <c r="AB1832" s="54">
        <v>13.946400000000001</v>
      </c>
      <c r="AC1832" s="54">
        <v>3.5419428571428573</v>
      </c>
      <c r="AD1832" s="36">
        <v>59.0334</v>
      </c>
    </row>
    <row r="1833" spans="1:30" s="37" customFormat="1" ht="15.75" customHeight="1" x14ac:dyDescent="0.2">
      <c r="A1833" s="26">
        <v>796</v>
      </c>
      <c r="B1833" s="27" t="s">
        <v>1588</v>
      </c>
      <c r="C1833" s="27" t="s">
        <v>3094</v>
      </c>
      <c r="D1833" s="28">
        <v>0.1</v>
      </c>
      <c r="E1833" s="29">
        <v>14.42</v>
      </c>
      <c r="F1833" s="29">
        <v>6.75</v>
      </c>
      <c r="G1833" s="30" t="s">
        <v>39</v>
      </c>
      <c r="H1833" s="27" t="s">
        <v>94</v>
      </c>
      <c r="I1833" s="27" t="s">
        <v>49</v>
      </c>
      <c r="J1833" s="27" t="s">
        <v>95</v>
      </c>
      <c r="K1833" s="27" t="s">
        <v>144</v>
      </c>
      <c r="L1833" s="31" t="s">
        <v>409</v>
      </c>
      <c r="M1833" s="32">
        <v>0.52</v>
      </c>
      <c r="N1833" s="27" t="s">
        <v>33</v>
      </c>
      <c r="O1833" s="27" t="s">
        <v>53</v>
      </c>
      <c r="P1833" s="27" t="s">
        <v>133</v>
      </c>
      <c r="Q1833" s="27" t="s">
        <v>1589</v>
      </c>
      <c r="R1833" s="33">
        <v>68046</v>
      </c>
      <c r="S1833" s="34">
        <v>42174</v>
      </c>
      <c r="T1833" s="34">
        <v>42177</v>
      </c>
      <c r="U1833" s="29">
        <v>-20.103999999999999</v>
      </c>
      <c r="V1833" s="26">
        <v>1</v>
      </c>
      <c r="W1833" s="29">
        <v>15.49</v>
      </c>
      <c r="X1833" s="26">
        <v>86869</v>
      </c>
      <c r="Y1833" s="35">
        <v>3.88</v>
      </c>
      <c r="Z1833" s="1" t="s">
        <v>3012</v>
      </c>
      <c r="AA1833" s="36">
        <v>1.4420000000000002</v>
      </c>
      <c r="AB1833" s="54">
        <v>7.4352</v>
      </c>
      <c r="AC1833" s="54">
        <v>8.0548000000000002</v>
      </c>
      <c r="AD1833" s="36">
        <v>27.402000000000001</v>
      </c>
    </row>
    <row r="1834" spans="1:30" s="37" customFormat="1" ht="15.75" customHeight="1" x14ac:dyDescent="0.2">
      <c r="A1834" s="26">
        <v>491</v>
      </c>
      <c r="B1834" s="27" t="s">
        <v>1073</v>
      </c>
      <c r="C1834" s="27" t="s">
        <v>26</v>
      </c>
      <c r="D1834" s="28">
        <v>0.02</v>
      </c>
      <c r="E1834" s="29">
        <v>1360.14</v>
      </c>
      <c r="F1834" s="29">
        <v>14.7</v>
      </c>
      <c r="G1834" s="30" t="s">
        <v>27</v>
      </c>
      <c r="H1834" s="27" t="s">
        <v>40</v>
      </c>
      <c r="I1834" s="27" t="s">
        <v>41</v>
      </c>
      <c r="J1834" s="27" t="s">
        <v>57</v>
      </c>
      <c r="K1834" s="27" t="s">
        <v>58</v>
      </c>
      <c r="L1834" s="31" t="s">
        <v>2772</v>
      </c>
      <c r="M1834" s="32">
        <v>0.59</v>
      </c>
      <c r="N1834" s="27" t="s">
        <v>33</v>
      </c>
      <c r="O1834" s="27" t="s">
        <v>111</v>
      </c>
      <c r="P1834" s="27" t="s">
        <v>112</v>
      </c>
      <c r="Q1834" s="27" t="s">
        <v>113</v>
      </c>
      <c r="R1834" s="33">
        <v>10154</v>
      </c>
      <c r="S1834" s="34">
        <v>42175</v>
      </c>
      <c r="T1834" s="34">
        <v>42177</v>
      </c>
      <c r="U1834" s="29">
        <v>2028.12</v>
      </c>
      <c r="V1834" s="26">
        <v>22</v>
      </c>
      <c r="W1834" s="29">
        <v>31670.6</v>
      </c>
      <c r="X1834" s="26">
        <v>6562</v>
      </c>
      <c r="Y1834" s="35">
        <v>1360.1200000000001</v>
      </c>
      <c r="Z1834" s="1" t="s">
        <v>3014</v>
      </c>
      <c r="AA1834" s="36">
        <v>598.46160000000009</v>
      </c>
      <c r="AB1834" s="54">
        <v>12984.946</v>
      </c>
      <c r="AC1834" s="54">
        <v>849.34790909090896</v>
      </c>
      <c r="AD1834" s="36">
        <v>29029.318399999996</v>
      </c>
    </row>
    <row r="1835" spans="1:30" s="37" customFormat="1" ht="15.75" customHeight="1" x14ac:dyDescent="0.2">
      <c r="A1835" s="26">
        <v>494</v>
      </c>
      <c r="B1835" s="27" t="s">
        <v>1074</v>
      </c>
      <c r="C1835" s="27" t="s">
        <v>26</v>
      </c>
      <c r="D1835" s="28">
        <v>0.02</v>
      </c>
      <c r="E1835" s="29">
        <v>1360.14</v>
      </c>
      <c r="F1835" s="29">
        <v>14.7</v>
      </c>
      <c r="G1835" s="30" t="s">
        <v>27</v>
      </c>
      <c r="H1835" s="27" t="s">
        <v>40</v>
      </c>
      <c r="I1835" s="27" t="s">
        <v>41</v>
      </c>
      <c r="J1835" s="27" t="s">
        <v>57</v>
      </c>
      <c r="K1835" s="27" t="s">
        <v>58</v>
      </c>
      <c r="L1835" s="31" t="s">
        <v>2772</v>
      </c>
      <c r="M1835" s="32">
        <v>0.59</v>
      </c>
      <c r="N1835" s="27" t="s">
        <v>33</v>
      </c>
      <c r="O1835" s="27" t="s">
        <v>60</v>
      </c>
      <c r="P1835" s="27" t="s">
        <v>67</v>
      </c>
      <c r="Q1835" s="27" t="s">
        <v>142</v>
      </c>
      <c r="R1835" s="33">
        <v>98115</v>
      </c>
      <c r="S1835" s="34">
        <v>42175</v>
      </c>
      <c r="T1835" s="34">
        <v>42177</v>
      </c>
      <c r="U1835" s="29">
        <v>3042.18</v>
      </c>
      <c r="V1835" s="26">
        <v>6</v>
      </c>
      <c r="W1835" s="29">
        <v>8637.44</v>
      </c>
      <c r="X1835" s="26">
        <v>88908</v>
      </c>
      <c r="Y1835" s="35">
        <v>1360.1200000000001</v>
      </c>
      <c r="Z1835" s="1" t="s">
        <v>3013</v>
      </c>
      <c r="AA1835" s="36">
        <v>163.21680000000003</v>
      </c>
      <c r="AB1835" s="54">
        <v>3541.3504000000003</v>
      </c>
      <c r="AC1835" s="54">
        <v>849.34826666666675</v>
      </c>
      <c r="AD1835" s="36">
        <v>5417.3432000000012</v>
      </c>
    </row>
    <row r="1836" spans="1:30" s="37" customFormat="1" ht="15.75" customHeight="1" x14ac:dyDescent="0.2">
      <c r="A1836" s="26">
        <v>1123</v>
      </c>
      <c r="B1836" s="27" t="s">
        <v>1647</v>
      </c>
      <c r="C1836" s="27" t="s">
        <v>38</v>
      </c>
      <c r="D1836" s="28">
        <v>0.09</v>
      </c>
      <c r="E1836" s="29">
        <v>175.99</v>
      </c>
      <c r="F1836" s="29">
        <v>4.99</v>
      </c>
      <c r="G1836" s="30" t="s">
        <v>39</v>
      </c>
      <c r="H1836" s="27" t="s">
        <v>3095</v>
      </c>
      <c r="I1836" s="27" t="s">
        <v>41</v>
      </c>
      <c r="J1836" s="27" t="s">
        <v>135</v>
      </c>
      <c r="K1836" s="27" t="s">
        <v>73</v>
      </c>
      <c r="L1836" s="31" t="s">
        <v>1249</v>
      </c>
      <c r="M1836" s="32">
        <v>0.59</v>
      </c>
      <c r="N1836" s="27" t="s">
        <v>33</v>
      </c>
      <c r="O1836" s="27" t="s">
        <v>60</v>
      </c>
      <c r="P1836" s="27" t="s">
        <v>90</v>
      </c>
      <c r="Q1836" s="27" t="s">
        <v>1649</v>
      </c>
      <c r="R1836" s="33">
        <v>95661</v>
      </c>
      <c r="S1836" s="34">
        <v>42175</v>
      </c>
      <c r="T1836" s="34">
        <v>42177</v>
      </c>
      <c r="U1836" s="29">
        <v>2169.7464</v>
      </c>
      <c r="V1836" s="26">
        <v>22</v>
      </c>
      <c r="W1836" s="29">
        <v>3144.56</v>
      </c>
      <c r="X1836" s="26">
        <v>87016</v>
      </c>
      <c r="Y1836" s="35">
        <v>47.919999999999995</v>
      </c>
      <c r="Z1836" s="1" t="s">
        <v>3013</v>
      </c>
      <c r="AA1836" s="36">
        <v>348.46019999999999</v>
      </c>
      <c r="AB1836" s="54">
        <v>1289.2696000000001</v>
      </c>
      <c r="AC1836" s="54">
        <v>84.331381818181811</v>
      </c>
      <c r="AD1836" s="36">
        <v>621.36340000000018</v>
      </c>
    </row>
    <row r="1837" spans="1:30" s="37" customFormat="1" ht="15.75" customHeight="1" x14ac:dyDescent="0.2">
      <c r="A1837" s="26">
        <v>1124</v>
      </c>
      <c r="B1837" s="27" t="s">
        <v>2920</v>
      </c>
      <c r="C1837" s="27" t="s">
        <v>38</v>
      </c>
      <c r="D1837" s="28">
        <v>0.09</v>
      </c>
      <c r="E1837" s="29">
        <v>160.97999999999999</v>
      </c>
      <c r="F1837" s="29">
        <v>35.020000000000003</v>
      </c>
      <c r="G1837" s="30" t="s">
        <v>27</v>
      </c>
      <c r="H1837" s="27" t="s">
        <v>3095</v>
      </c>
      <c r="I1837" s="27" t="s">
        <v>29</v>
      </c>
      <c r="J1837" s="27" t="s">
        <v>117</v>
      </c>
      <c r="K1837" s="27" t="s">
        <v>31</v>
      </c>
      <c r="L1837" s="31" t="s">
        <v>1755</v>
      </c>
      <c r="M1837" s="32">
        <v>0.72</v>
      </c>
      <c r="N1837" s="27" t="s">
        <v>33</v>
      </c>
      <c r="O1837" s="27" t="s">
        <v>111</v>
      </c>
      <c r="P1837" s="27" t="s">
        <v>248</v>
      </c>
      <c r="Q1837" s="27" t="s">
        <v>2921</v>
      </c>
      <c r="R1837" s="33">
        <v>6360</v>
      </c>
      <c r="S1837" s="34">
        <v>42175</v>
      </c>
      <c r="T1837" s="34">
        <v>42176</v>
      </c>
      <c r="U1837" s="29">
        <v>-229.93</v>
      </c>
      <c r="V1837" s="26">
        <v>18</v>
      </c>
      <c r="W1837" s="29">
        <v>2653.02</v>
      </c>
      <c r="X1837" s="26">
        <v>87016</v>
      </c>
      <c r="Y1837" s="35">
        <v>59.699999999999996</v>
      </c>
      <c r="Z1837" s="1" t="s">
        <v>3014</v>
      </c>
      <c r="AA1837" s="36">
        <v>260.7876</v>
      </c>
      <c r="AB1837" s="54">
        <v>742.8456000000001</v>
      </c>
      <c r="AC1837" s="54">
        <v>106.12079999999999</v>
      </c>
      <c r="AD1837" s="36">
        <v>2587.1424000000002</v>
      </c>
    </row>
    <row r="1838" spans="1:30" s="37" customFormat="1" ht="15.75" customHeight="1" x14ac:dyDescent="0.2">
      <c r="A1838" s="26">
        <v>2352</v>
      </c>
      <c r="B1838" s="27" t="s">
        <v>2918</v>
      </c>
      <c r="C1838" s="27" t="s">
        <v>26</v>
      </c>
      <c r="D1838" s="28">
        <v>0.06</v>
      </c>
      <c r="E1838" s="29">
        <v>59.76</v>
      </c>
      <c r="F1838" s="29">
        <v>9.7100000000000009</v>
      </c>
      <c r="G1838" s="30" t="s">
        <v>39</v>
      </c>
      <c r="H1838" s="27" t="s">
        <v>40</v>
      </c>
      <c r="I1838" s="27" t="s">
        <v>49</v>
      </c>
      <c r="J1838" s="27" t="s">
        <v>78</v>
      </c>
      <c r="K1838" s="27" t="s">
        <v>73</v>
      </c>
      <c r="L1838" s="31" t="s">
        <v>1973</v>
      </c>
      <c r="M1838" s="32">
        <v>0.56999999999999995</v>
      </c>
      <c r="N1838" s="27" t="s">
        <v>33</v>
      </c>
      <c r="O1838" s="27" t="s">
        <v>111</v>
      </c>
      <c r="P1838" s="27" t="s">
        <v>418</v>
      </c>
      <c r="Q1838" s="27" t="s">
        <v>2919</v>
      </c>
      <c r="R1838" s="33">
        <v>21501</v>
      </c>
      <c r="S1838" s="34">
        <v>42175</v>
      </c>
      <c r="T1838" s="34">
        <v>42178</v>
      </c>
      <c r="U1838" s="29">
        <v>756.67470000000003</v>
      </c>
      <c r="V1838" s="26">
        <v>18</v>
      </c>
      <c r="W1838" s="29">
        <v>1096.6300000000001</v>
      </c>
      <c r="X1838" s="26">
        <v>86165</v>
      </c>
      <c r="Y1838" s="35">
        <v>195.92000000000002</v>
      </c>
      <c r="Z1838" s="1" t="s">
        <v>3014</v>
      </c>
      <c r="AA1838" s="36">
        <v>64.540800000000004</v>
      </c>
      <c r="AB1838" s="54">
        <v>471.55090000000013</v>
      </c>
      <c r="AC1838" s="54">
        <v>34.726616666666665</v>
      </c>
      <c r="AD1838" s="36">
        <v>265.70450000000005</v>
      </c>
    </row>
    <row r="1839" spans="1:30" s="37" customFormat="1" ht="15.75" customHeight="1" x14ac:dyDescent="0.2">
      <c r="A1839" s="26">
        <v>2352</v>
      </c>
      <c r="B1839" s="27" t="s">
        <v>2918</v>
      </c>
      <c r="C1839" s="27" t="s">
        <v>26</v>
      </c>
      <c r="D1839" s="28">
        <v>7.0000000000000007E-2</v>
      </c>
      <c r="E1839" s="29">
        <v>195.99</v>
      </c>
      <c r="F1839" s="29">
        <v>4.2</v>
      </c>
      <c r="G1839" s="30" t="s">
        <v>39</v>
      </c>
      <c r="H1839" s="27" t="s">
        <v>40</v>
      </c>
      <c r="I1839" s="27" t="s">
        <v>41</v>
      </c>
      <c r="J1839" s="27" t="s">
        <v>135</v>
      </c>
      <c r="K1839" s="27" t="s">
        <v>73</v>
      </c>
      <c r="L1839" s="31" t="s">
        <v>2828</v>
      </c>
      <c r="M1839" s="32">
        <v>0.56000000000000005</v>
      </c>
      <c r="N1839" s="27" t="s">
        <v>33</v>
      </c>
      <c r="O1839" s="27" t="s">
        <v>111</v>
      </c>
      <c r="P1839" s="27" t="s">
        <v>418</v>
      </c>
      <c r="Q1839" s="27" t="s">
        <v>2919</v>
      </c>
      <c r="R1839" s="33">
        <v>21501</v>
      </c>
      <c r="S1839" s="34">
        <v>42175</v>
      </c>
      <c r="T1839" s="34">
        <v>42178</v>
      </c>
      <c r="U1839" s="29">
        <v>-222.34299999999999</v>
      </c>
      <c r="V1839" s="26">
        <v>4</v>
      </c>
      <c r="W1839" s="29">
        <v>632.12</v>
      </c>
      <c r="X1839" s="26">
        <v>86165</v>
      </c>
      <c r="Y1839" s="35">
        <v>175.9</v>
      </c>
      <c r="Z1839" s="1" t="s">
        <v>3014</v>
      </c>
      <c r="AA1839" s="36">
        <v>54.877200000000009</v>
      </c>
      <c r="AB1839" s="54">
        <v>278.13279999999997</v>
      </c>
      <c r="AC1839" s="54">
        <v>88.496800000000007</v>
      </c>
      <c r="AD1839" s="36">
        <v>795.38580000000002</v>
      </c>
    </row>
    <row r="1840" spans="1:30" s="37" customFormat="1" ht="15.75" customHeight="1" x14ac:dyDescent="0.2">
      <c r="A1840" s="26">
        <v>896</v>
      </c>
      <c r="B1840" s="27" t="s">
        <v>375</v>
      </c>
      <c r="C1840" s="27" t="s">
        <v>26</v>
      </c>
      <c r="D1840" s="28">
        <v>0.06</v>
      </c>
      <c r="E1840" s="29">
        <v>47.98</v>
      </c>
      <c r="F1840" s="29">
        <v>3.61</v>
      </c>
      <c r="G1840" s="30" t="s">
        <v>39</v>
      </c>
      <c r="H1840" s="27" t="s">
        <v>94</v>
      </c>
      <c r="I1840" s="27" t="s">
        <v>41</v>
      </c>
      <c r="J1840" s="27" t="s">
        <v>42</v>
      </c>
      <c r="K1840" s="27" t="s">
        <v>43</v>
      </c>
      <c r="L1840" s="31" t="s">
        <v>1239</v>
      </c>
      <c r="M1840" s="32">
        <v>0.71</v>
      </c>
      <c r="N1840" s="27" t="s">
        <v>33</v>
      </c>
      <c r="O1840" s="27" t="s">
        <v>53</v>
      </c>
      <c r="P1840" s="27" t="s">
        <v>187</v>
      </c>
      <c r="Q1840" s="27" t="s">
        <v>376</v>
      </c>
      <c r="R1840" s="33">
        <v>76201</v>
      </c>
      <c r="S1840" s="34">
        <v>42175</v>
      </c>
      <c r="T1840" s="34">
        <v>42177</v>
      </c>
      <c r="U1840" s="29">
        <v>35.954999999999998</v>
      </c>
      <c r="V1840" s="26">
        <v>11</v>
      </c>
      <c r="W1840" s="29">
        <v>517.67999999999995</v>
      </c>
      <c r="X1840" s="26">
        <v>90167</v>
      </c>
      <c r="Y1840" s="35">
        <v>160.88999999999999</v>
      </c>
      <c r="Z1840" s="1" t="s">
        <v>3012</v>
      </c>
      <c r="AA1840" s="36">
        <v>31.666799999999995</v>
      </c>
      <c r="AB1840" s="54">
        <v>150.12720000000002</v>
      </c>
      <c r="AC1840" s="54">
        <v>33.413890909090902</v>
      </c>
      <c r="AD1840" s="36">
        <v>446.44819999999993</v>
      </c>
    </row>
    <row r="1841" spans="1:30" s="37" customFormat="1" ht="15.75" customHeight="1" x14ac:dyDescent="0.2">
      <c r="A1841" s="26">
        <v>491</v>
      </c>
      <c r="B1841" s="27" t="s">
        <v>1073</v>
      </c>
      <c r="C1841" s="27" t="s">
        <v>3094</v>
      </c>
      <c r="D1841" s="28">
        <v>0.02</v>
      </c>
      <c r="E1841" s="29">
        <v>9.06</v>
      </c>
      <c r="F1841" s="29">
        <v>9.86</v>
      </c>
      <c r="G1841" s="30" t="s">
        <v>39</v>
      </c>
      <c r="H1841" s="27" t="s">
        <v>40</v>
      </c>
      <c r="I1841" s="27" t="s">
        <v>49</v>
      </c>
      <c r="J1841" s="27" t="s">
        <v>88</v>
      </c>
      <c r="K1841" s="27" t="s">
        <v>73</v>
      </c>
      <c r="L1841" s="31" t="s">
        <v>2286</v>
      </c>
      <c r="M1841" s="32">
        <v>0.4</v>
      </c>
      <c r="N1841" s="27" t="s">
        <v>33</v>
      </c>
      <c r="O1841" s="27" t="s">
        <v>111</v>
      </c>
      <c r="P1841" s="27" t="s">
        <v>112</v>
      </c>
      <c r="Q1841" s="27" t="s">
        <v>113</v>
      </c>
      <c r="R1841" s="33">
        <v>10154</v>
      </c>
      <c r="S1841" s="34">
        <v>42175</v>
      </c>
      <c r="T1841" s="34">
        <v>42177</v>
      </c>
      <c r="U1841" s="29">
        <v>-63.51</v>
      </c>
      <c r="V1841" s="26">
        <v>24</v>
      </c>
      <c r="W1841" s="29">
        <v>239.82</v>
      </c>
      <c r="X1841" s="26">
        <v>42852</v>
      </c>
      <c r="Y1841" s="35">
        <v>10.91</v>
      </c>
      <c r="Z1841" s="1" t="s">
        <v>3014</v>
      </c>
      <c r="AA1841" s="36">
        <v>4.3487999999999998</v>
      </c>
      <c r="AB1841" s="54">
        <v>143.892</v>
      </c>
      <c r="AC1841" s="54">
        <v>3.9969999999999999</v>
      </c>
      <c r="AD1841" s="36">
        <v>289.12119999999999</v>
      </c>
    </row>
    <row r="1842" spans="1:30" s="37" customFormat="1" ht="15.75" customHeight="1" x14ac:dyDescent="0.2">
      <c r="A1842" s="26">
        <v>1432</v>
      </c>
      <c r="B1842" s="27" t="s">
        <v>1510</v>
      </c>
      <c r="C1842" s="27" t="s">
        <v>48</v>
      </c>
      <c r="D1842" s="28">
        <v>7.0000000000000007E-2</v>
      </c>
      <c r="E1842" s="29">
        <v>10.98</v>
      </c>
      <c r="F1842" s="29">
        <v>4.8</v>
      </c>
      <c r="G1842" s="30" t="s">
        <v>39</v>
      </c>
      <c r="H1842" s="27" t="s">
        <v>94</v>
      </c>
      <c r="I1842" s="27" t="s">
        <v>49</v>
      </c>
      <c r="J1842" s="27" t="s">
        <v>345</v>
      </c>
      <c r="K1842" s="27" t="s">
        <v>73</v>
      </c>
      <c r="L1842" s="31" t="s">
        <v>1481</v>
      </c>
      <c r="M1842" s="32">
        <v>0.36</v>
      </c>
      <c r="N1842" s="27" t="s">
        <v>33</v>
      </c>
      <c r="O1842" s="27" t="s">
        <v>53</v>
      </c>
      <c r="P1842" s="27" t="s">
        <v>54</v>
      </c>
      <c r="Q1842" s="27" t="s">
        <v>1512</v>
      </c>
      <c r="R1842" s="33">
        <v>46203</v>
      </c>
      <c r="S1842" s="34">
        <v>42175</v>
      </c>
      <c r="T1842" s="34">
        <v>42182</v>
      </c>
      <c r="U1842" s="29">
        <v>52.92</v>
      </c>
      <c r="V1842" s="26">
        <v>16</v>
      </c>
      <c r="W1842" s="29">
        <v>165.21</v>
      </c>
      <c r="X1842" s="26">
        <v>86827</v>
      </c>
      <c r="Y1842" s="35">
        <v>9.0400000000000009</v>
      </c>
      <c r="Z1842" s="1" t="s">
        <v>3012</v>
      </c>
      <c r="AA1842" s="36">
        <v>12.297600000000001</v>
      </c>
      <c r="AB1842" s="54">
        <v>105.73440000000001</v>
      </c>
      <c r="AC1842" s="54">
        <v>3.717225</v>
      </c>
      <c r="AD1842" s="36">
        <v>95.192400000000006</v>
      </c>
    </row>
    <row r="1843" spans="1:30" s="37" customFormat="1" ht="15.75" customHeight="1" x14ac:dyDescent="0.2">
      <c r="A1843" s="26">
        <v>1424</v>
      </c>
      <c r="B1843" s="27" t="s">
        <v>437</v>
      </c>
      <c r="C1843" s="27" t="s">
        <v>3094</v>
      </c>
      <c r="D1843" s="28">
        <v>0.05</v>
      </c>
      <c r="E1843" s="29">
        <v>8.0399999999999991</v>
      </c>
      <c r="F1843" s="29">
        <v>8.94</v>
      </c>
      <c r="G1843" s="30" t="s">
        <v>39</v>
      </c>
      <c r="H1843" s="27" t="s">
        <v>71</v>
      </c>
      <c r="I1843" s="27" t="s">
        <v>49</v>
      </c>
      <c r="J1843" s="27" t="s">
        <v>72</v>
      </c>
      <c r="K1843" s="27" t="s">
        <v>73</v>
      </c>
      <c r="L1843" s="31" t="s">
        <v>2149</v>
      </c>
      <c r="M1843" s="32">
        <v>0.4</v>
      </c>
      <c r="N1843" s="27" t="s">
        <v>33</v>
      </c>
      <c r="O1843" s="27" t="s">
        <v>60</v>
      </c>
      <c r="P1843" s="27" t="s">
        <v>61</v>
      </c>
      <c r="Q1843" s="27" t="s">
        <v>439</v>
      </c>
      <c r="R1843" s="33">
        <v>80112</v>
      </c>
      <c r="S1843" s="34">
        <v>42175</v>
      </c>
      <c r="T1843" s="34">
        <v>42177</v>
      </c>
      <c r="U1843" s="29">
        <v>-164.3948</v>
      </c>
      <c r="V1843" s="26">
        <v>15</v>
      </c>
      <c r="W1843" s="29">
        <v>121.36</v>
      </c>
      <c r="X1843" s="26">
        <v>89449</v>
      </c>
      <c r="Y1843" s="35">
        <v>9.0400000000000009</v>
      </c>
      <c r="Z1843" s="1" t="s">
        <v>3013</v>
      </c>
      <c r="AA1843" s="36">
        <v>6.0299999999999994</v>
      </c>
      <c r="AB1843" s="54">
        <v>72.816000000000003</v>
      </c>
      <c r="AC1843" s="54">
        <v>3.2362666666666673</v>
      </c>
      <c r="AD1843" s="36">
        <v>270.78480000000002</v>
      </c>
    </row>
    <row r="1844" spans="1:30" s="37" customFormat="1" ht="15.75" customHeight="1" x14ac:dyDescent="0.2">
      <c r="A1844" s="26">
        <v>494</v>
      </c>
      <c r="B1844" s="27" t="s">
        <v>1074</v>
      </c>
      <c r="C1844" s="27" t="s">
        <v>3094</v>
      </c>
      <c r="D1844" s="28">
        <v>0.02</v>
      </c>
      <c r="E1844" s="29">
        <v>9.06</v>
      </c>
      <c r="F1844" s="29">
        <v>9.86</v>
      </c>
      <c r="G1844" s="30" t="s">
        <v>39</v>
      </c>
      <c r="H1844" s="27" t="s">
        <v>40</v>
      </c>
      <c r="I1844" s="27" t="s">
        <v>49</v>
      </c>
      <c r="J1844" s="27" t="s">
        <v>88</v>
      </c>
      <c r="K1844" s="27" t="s">
        <v>73</v>
      </c>
      <c r="L1844" s="31" t="s">
        <v>2286</v>
      </c>
      <c r="M1844" s="32">
        <v>0.4</v>
      </c>
      <c r="N1844" s="27" t="s">
        <v>33</v>
      </c>
      <c r="O1844" s="27" t="s">
        <v>60</v>
      </c>
      <c r="P1844" s="27" t="s">
        <v>67</v>
      </c>
      <c r="Q1844" s="27" t="s">
        <v>142</v>
      </c>
      <c r="R1844" s="33">
        <v>98115</v>
      </c>
      <c r="S1844" s="34">
        <v>42175</v>
      </c>
      <c r="T1844" s="34">
        <v>42177</v>
      </c>
      <c r="U1844" s="29">
        <v>-31.754999999999999</v>
      </c>
      <c r="V1844" s="26">
        <v>6</v>
      </c>
      <c r="W1844" s="29">
        <v>59.95</v>
      </c>
      <c r="X1844" s="26">
        <v>88908</v>
      </c>
      <c r="Y1844" s="35">
        <v>7.9899999999999993</v>
      </c>
      <c r="Z1844" s="1" t="s">
        <v>3013</v>
      </c>
      <c r="AA1844" s="36">
        <v>1.0871999999999999</v>
      </c>
      <c r="AB1844" s="54">
        <v>35.97</v>
      </c>
      <c r="AC1844" s="54">
        <v>3.996666666666667</v>
      </c>
      <c r="AD1844" s="36">
        <v>80.757800000000003</v>
      </c>
    </row>
    <row r="1845" spans="1:30" s="37" customFormat="1" ht="15.75" customHeight="1" x14ac:dyDescent="0.2">
      <c r="A1845" s="26">
        <v>2487</v>
      </c>
      <c r="B1845" s="27" t="s">
        <v>2746</v>
      </c>
      <c r="C1845" s="27" t="s">
        <v>3094</v>
      </c>
      <c r="D1845" s="28">
        <v>0.1</v>
      </c>
      <c r="E1845" s="29">
        <v>2.78</v>
      </c>
      <c r="F1845" s="29">
        <v>1.25</v>
      </c>
      <c r="G1845" s="30" t="s">
        <v>39</v>
      </c>
      <c r="H1845" s="27" t="s">
        <v>3095</v>
      </c>
      <c r="I1845" s="27" t="s">
        <v>49</v>
      </c>
      <c r="J1845" s="27" t="s">
        <v>50</v>
      </c>
      <c r="K1845" s="27" t="s">
        <v>51</v>
      </c>
      <c r="L1845" s="31" t="s">
        <v>382</v>
      </c>
      <c r="M1845" s="32">
        <v>0.59</v>
      </c>
      <c r="N1845" s="27" t="s">
        <v>33</v>
      </c>
      <c r="O1845" s="27" t="s">
        <v>34</v>
      </c>
      <c r="P1845" s="27" t="s">
        <v>75</v>
      </c>
      <c r="Q1845" s="27" t="s">
        <v>2747</v>
      </c>
      <c r="R1845" s="33">
        <v>30084</v>
      </c>
      <c r="S1845" s="34">
        <v>42175</v>
      </c>
      <c r="T1845" s="34">
        <v>42176</v>
      </c>
      <c r="U1845" s="29">
        <v>0.78539999999999999</v>
      </c>
      <c r="V1845" s="26">
        <v>18</v>
      </c>
      <c r="W1845" s="29">
        <v>46.42</v>
      </c>
      <c r="X1845" s="26">
        <v>91415</v>
      </c>
      <c r="Y1845" s="35">
        <v>3.04</v>
      </c>
      <c r="Z1845" s="1" t="s">
        <v>3011</v>
      </c>
      <c r="AA1845" s="36">
        <v>5.0039999999999996</v>
      </c>
      <c r="AB1845" s="54">
        <v>19.032200000000003</v>
      </c>
      <c r="AC1845" s="54">
        <v>1.5215444444444444</v>
      </c>
      <c r="AD1845" s="36">
        <v>39.380600000000001</v>
      </c>
    </row>
    <row r="1846" spans="1:30" s="37" customFormat="1" ht="15.75" customHeight="1" x14ac:dyDescent="0.2">
      <c r="A1846" s="26">
        <v>2487</v>
      </c>
      <c r="B1846" s="27" t="s">
        <v>2746</v>
      </c>
      <c r="C1846" s="27" t="s">
        <v>3094</v>
      </c>
      <c r="D1846" s="28">
        <v>0.04</v>
      </c>
      <c r="E1846" s="29">
        <v>3.08</v>
      </c>
      <c r="F1846" s="29">
        <v>0.99</v>
      </c>
      <c r="G1846" s="30" t="s">
        <v>39</v>
      </c>
      <c r="H1846" s="27" t="s">
        <v>3095</v>
      </c>
      <c r="I1846" s="27" t="s">
        <v>49</v>
      </c>
      <c r="J1846" s="27" t="s">
        <v>152</v>
      </c>
      <c r="K1846" s="27" t="s">
        <v>73</v>
      </c>
      <c r="L1846" s="31" t="s">
        <v>658</v>
      </c>
      <c r="M1846" s="32">
        <v>0.37</v>
      </c>
      <c r="N1846" s="27" t="s">
        <v>33</v>
      </c>
      <c r="O1846" s="27" t="s">
        <v>34</v>
      </c>
      <c r="P1846" s="27" t="s">
        <v>75</v>
      </c>
      <c r="Q1846" s="27" t="s">
        <v>2747</v>
      </c>
      <c r="R1846" s="33">
        <v>30084</v>
      </c>
      <c r="S1846" s="34">
        <v>42175</v>
      </c>
      <c r="T1846" s="34">
        <v>42176</v>
      </c>
      <c r="U1846" s="29">
        <v>257.08319999999998</v>
      </c>
      <c r="V1846" s="26">
        <v>14</v>
      </c>
      <c r="W1846" s="29">
        <v>43.41</v>
      </c>
      <c r="X1846" s="26">
        <v>91415</v>
      </c>
      <c r="Y1846" s="35">
        <v>2.6799999999999997</v>
      </c>
      <c r="Z1846" s="1" t="s">
        <v>3011</v>
      </c>
      <c r="AA1846" s="36">
        <v>1.7248000000000001</v>
      </c>
      <c r="AB1846" s="54">
        <v>27.348299999999998</v>
      </c>
      <c r="AC1846" s="54">
        <v>1.1472642857142856</v>
      </c>
      <c r="AD1846" s="36">
        <v>-216.38800000000001</v>
      </c>
    </row>
    <row r="1847" spans="1:30" s="37" customFormat="1" ht="15.75" customHeight="1" x14ac:dyDescent="0.2">
      <c r="A1847" s="26">
        <v>2305</v>
      </c>
      <c r="B1847" s="27" t="s">
        <v>2928</v>
      </c>
      <c r="C1847" s="27" t="s">
        <v>38</v>
      </c>
      <c r="D1847" s="28">
        <v>0</v>
      </c>
      <c r="E1847" s="29">
        <v>90.48</v>
      </c>
      <c r="F1847" s="29">
        <v>19.989999999999998</v>
      </c>
      <c r="G1847" s="30" t="s">
        <v>39</v>
      </c>
      <c r="H1847" s="27" t="s">
        <v>3095</v>
      </c>
      <c r="I1847" s="27" t="s">
        <v>49</v>
      </c>
      <c r="J1847" s="27" t="s">
        <v>345</v>
      </c>
      <c r="K1847" s="27" t="s">
        <v>73</v>
      </c>
      <c r="L1847" s="31" t="s">
        <v>502</v>
      </c>
      <c r="M1847" s="32">
        <v>0.4</v>
      </c>
      <c r="N1847" s="27" t="s">
        <v>33</v>
      </c>
      <c r="O1847" s="27" t="s">
        <v>53</v>
      </c>
      <c r="P1847" s="27" t="s">
        <v>1071</v>
      </c>
      <c r="Q1847" s="27" t="s">
        <v>130</v>
      </c>
      <c r="R1847" s="33">
        <v>57201</v>
      </c>
      <c r="S1847" s="34">
        <v>42176</v>
      </c>
      <c r="T1847" s="34">
        <v>42179</v>
      </c>
      <c r="U1847" s="29">
        <v>800.25509999999997</v>
      </c>
      <c r="V1847" s="26">
        <v>12</v>
      </c>
      <c r="W1847" s="29">
        <v>1159.79</v>
      </c>
      <c r="X1847" s="26">
        <v>89869</v>
      </c>
      <c r="Y1847" s="35">
        <v>2.81</v>
      </c>
      <c r="Z1847" s="1" t="s">
        <v>3012</v>
      </c>
      <c r="AA1847" s="36">
        <v>0</v>
      </c>
      <c r="AB1847" s="54">
        <v>695.87399999999991</v>
      </c>
      <c r="AC1847" s="54">
        <v>38.659666666666666</v>
      </c>
      <c r="AD1847" s="36">
        <v>339.54489999999998</v>
      </c>
    </row>
    <row r="1848" spans="1:30" s="37" customFormat="1" ht="15.75" customHeight="1" x14ac:dyDescent="0.2">
      <c r="A1848" s="26">
        <v>2713</v>
      </c>
      <c r="B1848" s="27" t="s">
        <v>2922</v>
      </c>
      <c r="C1848" s="27" t="s">
        <v>26</v>
      </c>
      <c r="D1848" s="28">
        <v>0.03</v>
      </c>
      <c r="E1848" s="29">
        <v>348.21</v>
      </c>
      <c r="F1848" s="29">
        <v>40.19</v>
      </c>
      <c r="G1848" s="30" t="s">
        <v>27</v>
      </c>
      <c r="H1848" s="27" t="s">
        <v>94</v>
      </c>
      <c r="I1848" s="27" t="s">
        <v>29</v>
      </c>
      <c r="J1848" s="27" t="s">
        <v>30</v>
      </c>
      <c r="K1848" s="27" t="s">
        <v>31</v>
      </c>
      <c r="L1848" s="31" t="s">
        <v>32</v>
      </c>
      <c r="M1848" s="32">
        <v>0.62</v>
      </c>
      <c r="N1848" s="27" t="s">
        <v>33</v>
      </c>
      <c r="O1848" s="27" t="s">
        <v>53</v>
      </c>
      <c r="P1848" s="27" t="s">
        <v>289</v>
      </c>
      <c r="Q1848" s="27" t="s">
        <v>2924</v>
      </c>
      <c r="R1848" s="33">
        <v>49001</v>
      </c>
      <c r="S1848" s="34">
        <v>42176</v>
      </c>
      <c r="T1848" s="34">
        <v>42177</v>
      </c>
      <c r="U1848" s="29">
        <v>-178.86959999999999</v>
      </c>
      <c r="V1848" s="26">
        <v>2</v>
      </c>
      <c r="W1848" s="29">
        <v>736.16</v>
      </c>
      <c r="X1848" s="26">
        <v>88701</v>
      </c>
      <c r="Y1848" s="35">
        <v>348.18</v>
      </c>
      <c r="Z1848" s="1" t="s">
        <v>3012</v>
      </c>
      <c r="AA1848" s="36">
        <v>20.892599999999998</v>
      </c>
      <c r="AB1848" s="54">
        <v>279.74079999999998</v>
      </c>
      <c r="AC1848" s="54">
        <v>228.20959999999999</v>
      </c>
      <c r="AD1848" s="36">
        <v>853.947</v>
      </c>
    </row>
    <row r="1849" spans="1:30" s="37" customFormat="1" ht="15.75" customHeight="1" x14ac:dyDescent="0.2">
      <c r="A1849" s="26">
        <v>2049</v>
      </c>
      <c r="B1849" s="27" t="s">
        <v>2925</v>
      </c>
      <c r="C1849" s="27" t="s">
        <v>38</v>
      </c>
      <c r="D1849" s="28">
        <v>0.03</v>
      </c>
      <c r="E1849" s="29">
        <v>15.28</v>
      </c>
      <c r="F1849" s="29">
        <v>1.99</v>
      </c>
      <c r="G1849" s="30" t="s">
        <v>39</v>
      </c>
      <c r="H1849" s="27" t="s">
        <v>94</v>
      </c>
      <c r="I1849" s="27" t="s">
        <v>41</v>
      </c>
      <c r="J1849" s="27" t="s">
        <v>42</v>
      </c>
      <c r="K1849" s="27" t="s">
        <v>43</v>
      </c>
      <c r="L1849" s="31" t="s">
        <v>512</v>
      </c>
      <c r="M1849" s="32">
        <v>0.42</v>
      </c>
      <c r="N1849" s="27" t="s">
        <v>33</v>
      </c>
      <c r="O1849" s="27" t="s">
        <v>34</v>
      </c>
      <c r="P1849" s="27" t="s">
        <v>242</v>
      </c>
      <c r="Q1849" s="27" t="s">
        <v>2926</v>
      </c>
      <c r="R1849" s="33">
        <v>22801</v>
      </c>
      <c r="S1849" s="34">
        <v>42176</v>
      </c>
      <c r="T1849" s="34">
        <v>42178</v>
      </c>
      <c r="U1849" s="29">
        <v>-266.68599999999998</v>
      </c>
      <c r="V1849" s="26">
        <v>19</v>
      </c>
      <c r="W1849" s="29">
        <v>290.98</v>
      </c>
      <c r="X1849" s="26">
        <v>88220</v>
      </c>
      <c r="Y1849" s="35">
        <v>15.25</v>
      </c>
      <c r="Z1849" s="1" t="s">
        <v>3011</v>
      </c>
      <c r="AA1849" s="36">
        <v>8.7096</v>
      </c>
      <c r="AB1849" s="54">
        <v>168.76840000000004</v>
      </c>
      <c r="AC1849" s="54">
        <v>6.4321894736842102</v>
      </c>
      <c r="AD1849" s="36">
        <v>546.96640000000002</v>
      </c>
    </row>
    <row r="1850" spans="1:30" s="37" customFormat="1" ht="15.75" customHeight="1" x14ac:dyDescent="0.2">
      <c r="A1850" s="26">
        <v>792</v>
      </c>
      <c r="B1850" s="27" t="s">
        <v>2931</v>
      </c>
      <c r="C1850" s="27" t="s">
        <v>3094</v>
      </c>
      <c r="D1850" s="28">
        <v>0.09</v>
      </c>
      <c r="E1850" s="29">
        <v>6.48</v>
      </c>
      <c r="F1850" s="29">
        <v>9.68</v>
      </c>
      <c r="G1850" s="30" t="s">
        <v>39</v>
      </c>
      <c r="H1850" s="27" t="s">
        <v>94</v>
      </c>
      <c r="I1850" s="27" t="s">
        <v>49</v>
      </c>
      <c r="J1850" s="27" t="s">
        <v>88</v>
      </c>
      <c r="K1850" s="27" t="s">
        <v>73</v>
      </c>
      <c r="L1850" s="31" t="s">
        <v>2932</v>
      </c>
      <c r="M1850" s="32">
        <v>0.36</v>
      </c>
      <c r="N1850" s="27" t="s">
        <v>33</v>
      </c>
      <c r="O1850" s="27" t="s">
        <v>53</v>
      </c>
      <c r="P1850" s="27" t="s">
        <v>207</v>
      </c>
      <c r="Q1850" s="27" t="s">
        <v>2933</v>
      </c>
      <c r="R1850" s="33">
        <v>73064</v>
      </c>
      <c r="S1850" s="34">
        <v>42176</v>
      </c>
      <c r="T1850" s="34">
        <v>42177</v>
      </c>
      <c r="U1850" s="29">
        <v>-204.16</v>
      </c>
      <c r="V1850" s="26">
        <v>16</v>
      </c>
      <c r="W1850" s="29">
        <v>99.92</v>
      </c>
      <c r="X1850" s="26">
        <v>88753</v>
      </c>
      <c r="Y1850" s="35">
        <v>1.67</v>
      </c>
      <c r="Z1850" s="1" t="s">
        <v>3012</v>
      </c>
      <c r="AA1850" s="36">
        <v>9.3312000000000008</v>
      </c>
      <c r="AB1850" s="54">
        <v>63.948800000000006</v>
      </c>
      <c r="AC1850" s="54">
        <v>2.2481999999999998</v>
      </c>
      <c r="AD1850" s="36">
        <v>285.06880000000001</v>
      </c>
    </row>
    <row r="1851" spans="1:30" s="37" customFormat="1" ht="15.75" customHeight="1" x14ac:dyDescent="0.2">
      <c r="A1851" s="26">
        <v>648</v>
      </c>
      <c r="B1851" s="27" t="s">
        <v>2929</v>
      </c>
      <c r="C1851" s="27" t="s">
        <v>3094</v>
      </c>
      <c r="D1851" s="28">
        <v>0.02</v>
      </c>
      <c r="E1851" s="29">
        <v>25.38</v>
      </c>
      <c r="F1851" s="29">
        <v>8.99</v>
      </c>
      <c r="G1851" s="30" t="s">
        <v>39</v>
      </c>
      <c r="H1851" s="27" t="s">
        <v>71</v>
      </c>
      <c r="I1851" s="27" t="s">
        <v>29</v>
      </c>
      <c r="J1851" s="27" t="s">
        <v>126</v>
      </c>
      <c r="K1851" s="27" t="s">
        <v>43</v>
      </c>
      <c r="L1851" s="31" t="s">
        <v>2385</v>
      </c>
      <c r="M1851" s="32">
        <v>0.5</v>
      </c>
      <c r="N1851" s="27" t="s">
        <v>33</v>
      </c>
      <c r="O1851" s="27" t="s">
        <v>53</v>
      </c>
      <c r="P1851" s="27" t="s">
        <v>103</v>
      </c>
      <c r="Q1851" s="27" t="s">
        <v>2930</v>
      </c>
      <c r="R1851" s="33">
        <v>60440</v>
      </c>
      <c r="S1851" s="34">
        <v>42176</v>
      </c>
      <c r="T1851" s="34">
        <v>42177</v>
      </c>
      <c r="U1851" s="29">
        <v>-10.36</v>
      </c>
      <c r="V1851" s="26">
        <v>1</v>
      </c>
      <c r="W1851" s="29">
        <v>34.11</v>
      </c>
      <c r="X1851" s="26">
        <v>91365</v>
      </c>
      <c r="Y1851" s="35">
        <v>90.48</v>
      </c>
      <c r="Z1851" s="1" t="s">
        <v>3012</v>
      </c>
      <c r="AA1851" s="36">
        <v>0.50759999999999994</v>
      </c>
      <c r="AB1851" s="54">
        <v>17.055</v>
      </c>
      <c r="AC1851" s="54">
        <v>17.055</v>
      </c>
      <c r="AD1851" s="36">
        <v>34.9724</v>
      </c>
    </row>
    <row r="1852" spans="1:30" s="37" customFormat="1" ht="15.75" customHeight="1" x14ac:dyDescent="0.2">
      <c r="A1852" s="26">
        <v>2713</v>
      </c>
      <c r="B1852" s="27" t="s">
        <v>2922</v>
      </c>
      <c r="C1852" s="27" t="s">
        <v>26</v>
      </c>
      <c r="D1852" s="28">
        <v>7.0000000000000007E-2</v>
      </c>
      <c r="E1852" s="29">
        <v>2.88</v>
      </c>
      <c r="F1852" s="29">
        <v>0.5</v>
      </c>
      <c r="G1852" s="30" t="s">
        <v>39</v>
      </c>
      <c r="H1852" s="27" t="s">
        <v>94</v>
      </c>
      <c r="I1852" s="27" t="s">
        <v>49</v>
      </c>
      <c r="J1852" s="27" t="s">
        <v>152</v>
      </c>
      <c r="K1852" s="27" t="s">
        <v>73</v>
      </c>
      <c r="L1852" s="31" t="s">
        <v>2923</v>
      </c>
      <c r="M1852" s="32">
        <v>0.39</v>
      </c>
      <c r="N1852" s="27" t="s">
        <v>33</v>
      </c>
      <c r="O1852" s="27" t="s">
        <v>53</v>
      </c>
      <c r="P1852" s="27" t="s">
        <v>289</v>
      </c>
      <c r="Q1852" s="27" t="s">
        <v>2924</v>
      </c>
      <c r="R1852" s="33">
        <v>49001</v>
      </c>
      <c r="S1852" s="34">
        <v>42176</v>
      </c>
      <c r="T1852" s="34">
        <v>42179</v>
      </c>
      <c r="U1852" s="29">
        <v>17.429400000000001</v>
      </c>
      <c r="V1852" s="26">
        <v>9</v>
      </c>
      <c r="W1852" s="29">
        <v>25.26</v>
      </c>
      <c r="X1852" s="26">
        <v>88701</v>
      </c>
      <c r="Y1852" s="35">
        <v>25.36</v>
      </c>
      <c r="Z1852" s="1" t="s">
        <v>3012</v>
      </c>
      <c r="AA1852" s="36">
        <v>1.8144</v>
      </c>
      <c r="AB1852" s="54">
        <v>15.4086</v>
      </c>
      <c r="AC1852" s="54">
        <v>1.0946</v>
      </c>
      <c r="AD1852" s="36">
        <v>5.5162000000000013</v>
      </c>
    </row>
    <row r="1853" spans="1:30" s="37" customFormat="1" ht="15.75" customHeight="1" x14ac:dyDescent="0.2">
      <c r="A1853" s="26">
        <v>2049</v>
      </c>
      <c r="B1853" s="27" t="s">
        <v>2925</v>
      </c>
      <c r="C1853" s="27" t="s">
        <v>38</v>
      </c>
      <c r="D1853" s="28">
        <v>0.09</v>
      </c>
      <c r="E1853" s="29">
        <v>1.76</v>
      </c>
      <c r="F1853" s="29">
        <v>0.7</v>
      </c>
      <c r="G1853" s="30" t="s">
        <v>39</v>
      </c>
      <c r="H1853" s="27" t="s">
        <v>94</v>
      </c>
      <c r="I1853" s="27" t="s">
        <v>49</v>
      </c>
      <c r="J1853" s="27" t="s">
        <v>50</v>
      </c>
      <c r="K1853" s="27" t="s">
        <v>51</v>
      </c>
      <c r="L1853" s="31" t="s">
        <v>2927</v>
      </c>
      <c r="M1853" s="32">
        <v>0.56000000000000005</v>
      </c>
      <c r="N1853" s="27" t="s">
        <v>33</v>
      </c>
      <c r="O1853" s="27" t="s">
        <v>34</v>
      </c>
      <c r="P1853" s="27" t="s">
        <v>242</v>
      </c>
      <c r="Q1853" s="27" t="s">
        <v>2926</v>
      </c>
      <c r="R1853" s="33">
        <v>22801</v>
      </c>
      <c r="S1853" s="34">
        <v>42176</v>
      </c>
      <c r="T1853" s="34">
        <v>42179</v>
      </c>
      <c r="U1853" s="29">
        <v>-12.278</v>
      </c>
      <c r="V1853" s="26">
        <v>13</v>
      </c>
      <c r="W1853" s="29">
        <v>21.77</v>
      </c>
      <c r="X1853" s="26">
        <v>88220</v>
      </c>
      <c r="Y1853" s="35">
        <v>6.3900000000000006</v>
      </c>
      <c r="Z1853" s="1" t="s">
        <v>3011</v>
      </c>
      <c r="AA1853" s="36">
        <v>2.0591999999999997</v>
      </c>
      <c r="AB1853" s="54">
        <v>9.5787999999999993</v>
      </c>
      <c r="AC1853" s="54">
        <v>0.93778461538461544</v>
      </c>
      <c r="AD1853" s="36">
        <v>31.288800000000002</v>
      </c>
    </row>
    <row r="1854" spans="1:30" s="37" customFormat="1" ht="15.75" customHeight="1" x14ac:dyDescent="0.2">
      <c r="A1854" s="26">
        <v>2874</v>
      </c>
      <c r="B1854" s="27" t="s">
        <v>2040</v>
      </c>
      <c r="C1854" s="27" t="s">
        <v>26</v>
      </c>
      <c r="D1854" s="28">
        <v>0.03</v>
      </c>
      <c r="E1854" s="29">
        <v>304.99</v>
      </c>
      <c r="F1854" s="29">
        <v>19.989999999999998</v>
      </c>
      <c r="G1854" s="30" t="s">
        <v>39</v>
      </c>
      <c r="H1854" s="27" t="s">
        <v>71</v>
      </c>
      <c r="I1854" s="27" t="s">
        <v>49</v>
      </c>
      <c r="J1854" s="27" t="s">
        <v>72</v>
      </c>
      <c r="K1854" s="27" t="s">
        <v>73</v>
      </c>
      <c r="L1854" s="31" t="s">
        <v>2803</v>
      </c>
      <c r="M1854" s="32">
        <v>0.4</v>
      </c>
      <c r="N1854" s="27" t="s">
        <v>33</v>
      </c>
      <c r="O1854" s="27" t="s">
        <v>53</v>
      </c>
      <c r="P1854" s="27" t="s">
        <v>133</v>
      </c>
      <c r="Q1854" s="27" t="s">
        <v>2041</v>
      </c>
      <c r="R1854" s="33">
        <v>68128</v>
      </c>
      <c r="S1854" s="34">
        <v>42177</v>
      </c>
      <c r="T1854" s="34">
        <v>42179</v>
      </c>
      <c r="U1854" s="29">
        <v>4033.6089000000002</v>
      </c>
      <c r="V1854" s="26">
        <v>19</v>
      </c>
      <c r="W1854" s="29">
        <v>5845.81</v>
      </c>
      <c r="X1854" s="26">
        <v>89874</v>
      </c>
      <c r="Y1854" s="35">
        <v>20.89</v>
      </c>
      <c r="Z1854" s="1" t="s">
        <v>3012</v>
      </c>
      <c r="AA1854" s="36">
        <v>173.84429999999998</v>
      </c>
      <c r="AB1854" s="54">
        <v>3507.4860000000003</v>
      </c>
      <c r="AC1854" s="54">
        <v>123.06968421052632</v>
      </c>
      <c r="AD1854" s="36">
        <v>1618.3668000000007</v>
      </c>
    </row>
    <row r="1855" spans="1:30" s="37" customFormat="1" ht="15.75" customHeight="1" x14ac:dyDescent="0.2">
      <c r="A1855" s="26">
        <v>522</v>
      </c>
      <c r="B1855" s="27" t="s">
        <v>2951</v>
      </c>
      <c r="C1855" s="27" t="s">
        <v>116</v>
      </c>
      <c r="D1855" s="28">
        <v>0.01</v>
      </c>
      <c r="E1855" s="29">
        <v>179.29</v>
      </c>
      <c r="F1855" s="29">
        <v>29.21</v>
      </c>
      <c r="G1855" s="30" t="s">
        <v>27</v>
      </c>
      <c r="H1855" s="27" t="s">
        <v>3095</v>
      </c>
      <c r="I1855" s="27" t="s">
        <v>29</v>
      </c>
      <c r="J1855" s="27" t="s">
        <v>30</v>
      </c>
      <c r="K1855" s="27" t="s">
        <v>31</v>
      </c>
      <c r="L1855" s="31" t="s">
        <v>543</v>
      </c>
      <c r="M1855" s="32">
        <v>0.74</v>
      </c>
      <c r="N1855" s="27" t="s">
        <v>33</v>
      </c>
      <c r="O1855" s="27" t="s">
        <v>60</v>
      </c>
      <c r="P1855" s="27" t="s">
        <v>139</v>
      </c>
      <c r="Q1855" s="27" t="s">
        <v>842</v>
      </c>
      <c r="R1855" s="33">
        <v>97756</v>
      </c>
      <c r="S1855" s="34">
        <v>42177</v>
      </c>
      <c r="T1855" s="34">
        <v>42178</v>
      </c>
      <c r="U1855" s="29">
        <v>2800.12</v>
      </c>
      <c r="V1855" s="26">
        <v>21</v>
      </c>
      <c r="W1855" s="29">
        <v>3112.13</v>
      </c>
      <c r="X1855" s="26">
        <v>89327</v>
      </c>
      <c r="Y1855" s="35">
        <v>304.96000000000004</v>
      </c>
      <c r="Z1855" s="1" t="s">
        <v>3013</v>
      </c>
      <c r="AA1855" s="36">
        <v>37.6509</v>
      </c>
      <c r="AB1855" s="54">
        <v>809.15380000000005</v>
      </c>
      <c r="AC1855" s="54">
        <v>109.66553333333333</v>
      </c>
      <c r="AD1855" s="36">
        <v>245.14910000000009</v>
      </c>
    </row>
    <row r="1856" spans="1:30" s="37" customFormat="1" ht="15.75" customHeight="1" x14ac:dyDescent="0.2">
      <c r="A1856" s="26">
        <v>102</v>
      </c>
      <c r="B1856" s="27" t="s">
        <v>2042</v>
      </c>
      <c r="C1856" s="27" t="s">
        <v>116</v>
      </c>
      <c r="D1856" s="28">
        <v>0.1</v>
      </c>
      <c r="E1856" s="29">
        <v>19.98</v>
      </c>
      <c r="F1856" s="29">
        <v>4</v>
      </c>
      <c r="G1856" s="30" t="s">
        <v>39</v>
      </c>
      <c r="H1856" s="27" t="s">
        <v>40</v>
      </c>
      <c r="I1856" s="27" t="s">
        <v>41</v>
      </c>
      <c r="J1856" s="27" t="s">
        <v>42</v>
      </c>
      <c r="K1856" s="27" t="s">
        <v>73</v>
      </c>
      <c r="L1856" s="31" t="s">
        <v>1761</v>
      </c>
      <c r="M1856" s="32">
        <v>0.68</v>
      </c>
      <c r="N1856" s="27" t="s">
        <v>33</v>
      </c>
      <c r="O1856" s="27" t="s">
        <v>111</v>
      </c>
      <c r="P1856" s="27" t="s">
        <v>403</v>
      </c>
      <c r="Q1856" s="27" t="s">
        <v>788</v>
      </c>
      <c r="R1856" s="33">
        <v>2129</v>
      </c>
      <c r="S1856" s="34">
        <v>42177</v>
      </c>
      <c r="T1856" s="34">
        <v>42179</v>
      </c>
      <c r="U1856" s="29">
        <v>-20.25</v>
      </c>
      <c r="V1856" s="26">
        <v>65</v>
      </c>
      <c r="W1856" s="29">
        <v>1233.32</v>
      </c>
      <c r="X1856" s="26">
        <v>3397</v>
      </c>
      <c r="Y1856" s="35">
        <v>65.899999999999991</v>
      </c>
      <c r="Z1856" s="1" t="s">
        <v>3014</v>
      </c>
      <c r="AA1856" s="36">
        <v>129.87</v>
      </c>
      <c r="AB1856" s="54">
        <v>394.66239999999993</v>
      </c>
      <c r="AC1856" s="54">
        <v>12.902424615384616</v>
      </c>
      <c r="AD1856" s="36">
        <v>1119.6999999999998</v>
      </c>
    </row>
    <row r="1857" spans="1:30" s="37" customFormat="1" ht="15.75" customHeight="1" x14ac:dyDescent="0.2">
      <c r="A1857" s="26">
        <v>437</v>
      </c>
      <c r="B1857" s="27" t="s">
        <v>2940</v>
      </c>
      <c r="C1857" s="27" t="s">
        <v>48</v>
      </c>
      <c r="D1857" s="28">
        <v>0.05</v>
      </c>
      <c r="E1857" s="29">
        <v>125.99</v>
      </c>
      <c r="F1857" s="29">
        <v>8.08</v>
      </c>
      <c r="G1857" s="30" t="s">
        <v>39</v>
      </c>
      <c r="H1857" s="27" t="s">
        <v>3095</v>
      </c>
      <c r="I1857" s="27" t="s">
        <v>41</v>
      </c>
      <c r="J1857" s="27" t="s">
        <v>135</v>
      </c>
      <c r="K1857" s="27" t="s">
        <v>73</v>
      </c>
      <c r="L1857" s="31" t="s">
        <v>2113</v>
      </c>
      <c r="M1857" s="32">
        <v>0.56999999999999995</v>
      </c>
      <c r="N1857" s="27" t="s">
        <v>33</v>
      </c>
      <c r="O1857" s="27" t="s">
        <v>111</v>
      </c>
      <c r="P1857" s="27" t="s">
        <v>403</v>
      </c>
      <c r="Q1857" s="27" t="s">
        <v>2941</v>
      </c>
      <c r="R1857" s="33">
        <v>1462</v>
      </c>
      <c r="S1857" s="34">
        <v>42177</v>
      </c>
      <c r="T1857" s="34">
        <v>42182</v>
      </c>
      <c r="U1857" s="29">
        <v>427.11840000000001</v>
      </c>
      <c r="V1857" s="26">
        <v>9</v>
      </c>
      <c r="W1857" s="29">
        <v>952.26</v>
      </c>
      <c r="X1857" s="26">
        <v>90695</v>
      </c>
      <c r="Y1857" s="35">
        <v>7.9700000000000006</v>
      </c>
      <c r="Z1857" s="1" t="s">
        <v>3014</v>
      </c>
      <c r="AA1857" s="36">
        <v>56.695500000000003</v>
      </c>
      <c r="AB1857" s="54">
        <v>409.47180000000003</v>
      </c>
      <c r="AC1857" s="54">
        <v>60.309799999999996</v>
      </c>
      <c r="AD1857" s="36">
        <v>460.36610000000002</v>
      </c>
    </row>
    <row r="1858" spans="1:30" s="37" customFormat="1" ht="15.75" customHeight="1" x14ac:dyDescent="0.2">
      <c r="A1858" s="26">
        <v>2874</v>
      </c>
      <c r="B1858" s="27" t="s">
        <v>2040</v>
      </c>
      <c r="C1858" s="27" t="s">
        <v>26</v>
      </c>
      <c r="D1858" s="28">
        <v>0.09</v>
      </c>
      <c r="E1858" s="29">
        <v>65.989999999999995</v>
      </c>
      <c r="F1858" s="29">
        <v>8.99</v>
      </c>
      <c r="G1858" s="30" t="s">
        <v>39</v>
      </c>
      <c r="H1858" s="27" t="s">
        <v>71</v>
      </c>
      <c r="I1858" s="27" t="s">
        <v>41</v>
      </c>
      <c r="J1858" s="27" t="s">
        <v>135</v>
      </c>
      <c r="K1858" s="27" t="s">
        <v>73</v>
      </c>
      <c r="L1858" s="31" t="s">
        <v>2936</v>
      </c>
      <c r="M1858" s="32">
        <v>0.57999999999999996</v>
      </c>
      <c r="N1858" s="27" t="s">
        <v>33</v>
      </c>
      <c r="O1858" s="27" t="s">
        <v>53</v>
      </c>
      <c r="P1858" s="27" t="s">
        <v>133</v>
      </c>
      <c r="Q1858" s="27" t="s">
        <v>2041</v>
      </c>
      <c r="R1858" s="33">
        <v>68128</v>
      </c>
      <c r="S1858" s="34">
        <v>42177</v>
      </c>
      <c r="T1858" s="34">
        <v>42179</v>
      </c>
      <c r="U1858" s="29">
        <v>141.7824</v>
      </c>
      <c r="V1858" s="26">
        <v>12</v>
      </c>
      <c r="W1858" s="29">
        <v>633.85</v>
      </c>
      <c r="X1858" s="26">
        <v>89874</v>
      </c>
      <c r="Y1858" s="35">
        <v>180.88</v>
      </c>
      <c r="Z1858" s="1" t="s">
        <v>3012</v>
      </c>
      <c r="AA1858" s="36">
        <v>71.269199999999984</v>
      </c>
      <c r="AB1858" s="54">
        <v>266.21700000000004</v>
      </c>
      <c r="AC1858" s="54">
        <v>30.636083333333332</v>
      </c>
      <c r="AD1858" s="36">
        <v>411.80840000000001</v>
      </c>
    </row>
    <row r="1859" spans="1:30" s="37" customFormat="1" ht="15.75" customHeight="1" x14ac:dyDescent="0.2">
      <c r="A1859" s="26">
        <v>3132</v>
      </c>
      <c r="B1859" s="27" t="s">
        <v>2552</v>
      </c>
      <c r="C1859" s="27" t="s">
        <v>38</v>
      </c>
      <c r="D1859" s="28">
        <v>0.1</v>
      </c>
      <c r="E1859" s="29">
        <v>180.98</v>
      </c>
      <c r="F1859" s="29">
        <v>26.2</v>
      </c>
      <c r="G1859" s="30" t="s">
        <v>27</v>
      </c>
      <c r="H1859" s="27" t="s">
        <v>94</v>
      </c>
      <c r="I1859" s="27" t="s">
        <v>29</v>
      </c>
      <c r="J1859" s="27" t="s">
        <v>109</v>
      </c>
      <c r="K1859" s="27" t="s">
        <v>58</v>
      </c>
      <c r="L1859" s="31" t="s">
        <v>2274</v>
      </c>
      <c r="M1859" s="32">
        <v>0.59</v>
      </c>
      <c r="N1859" s="27" t="s">
        <v>33</v>
      </c>
      <c r="O1859" s="27" t="s">
        <v>53</v>
      </c>
      <c r="P1859" s="27" t="s">
        <v>103</v>
      </c>
      <c r="Q1859" s="27" t="s">
        <v>2554</v>
      </c>
      <c r="R1859" s="33">
        <v>60060</v>
      </c>
      <c r="S1859" s="34">
        <v>42177</v>
      </c>
      <c r="T1859" s="34">
        <v>42178</v>
      </c>
      <c r="U1859" s="29">
        <v>-64.664000000000001</v>
      </c>
      <c r="V1859" s="26">
        <v>3</v>
      </c>
      <c r="W1859" s="29">
        <v>519.41999999999996</v>
      </c>
      <c r="X1859" s="26">
        <v>86790</v>
      </c>
      <c r="Y1859" s="35">
        <v>125.94</v>
      </c>
      <c r="Z1859" s="1" t="s">
        <v>3012</v>
      </c>
      <c r="AA1859" s="36">
        <v>54.293999999999997</v>
      </c>
      <c r="AB1859" s="54">
        <v>212.9622</v>
      </c>
      <c r="AC1859" s="54">
        <v>102.15259999999999</v>
      </c>
      <c r="AD1859" s="36">
        <v>503.59</v>
      </c>
    </row>
    <row r="1860" spans="1:30" s="37" customFormat="1" ht="15.75" customHeight="1" x14ac:dyDescent="0.2">
      <c r="A1860" s="26">
        <v>522</v>
      </c>
      <c r="B1860" s="27" t="s">
        <v>2951</v>
      </c>
      <c r="C1860" s="27" t="s">
        <v>116</v>
      </c>
      <c r="D1860" s="28">
        <v>0.02</v>
      </c>
      <c r="E1860" s="29">
        <v>150.97999999999999</v>
      </c>
      <c r="F1860" s="29">
        <v>13.99</v>
      </c>
      <c r="G1860" s="30" t="s">
        <v>87</v>
      </c>
      <c r="H1860" s="27" t="s">
        <v>3095</v>
      </c>
      <c r="I1860" s="27" t="s">
        <v>41</v>
      </c>
      <c r="J1860" s="27" t="s">
        <v>57</v>
      </c>
      <c r="K1860" s="27" t="s">
        <v>144</v>
      </c>
      <c r="L1860" s="31" t="s">
        <v>782</v>
      </c>
      <c r="M1860" s="32">
        <v>0.38</v>
      </c>
      <c r="N1860" s="27" t="s">
        <v>33</v>
      </c>
      <c r="O1860" s="27" t="s">
        <v>60</v>
      </c>
      <c r="P1860" s="27" t="s">
        <v>139</v>
      </c>
      <c r="Q1860" s="27" t="s">
        <v>842</v>
      </c>
      <c r="R1860" s="33">
        <v>97756</v>
      </c>
      <c r="S1860" s="34">
        <v>42177</v>
      </c>
      <c r="T1860" s="34">
        <v>42179</v>
      </c>
      <c r="U1860" s="29">
        <v>26.1</v>
      </c>
      <c r="V1860" s="26">
        <v>3</v>
      </c>
      <c r="W1860" s="29">
        <v>480.37</v>
      </c>
      <c r="X1860" s="26">
        <v>89327</v>
      </c>
      <c r="Y1860" s="35">
        <v>4.67</v>
      </c>
      <c r="Z1860" s="1" t="s">
        <v>3013</v>
      </c>
      <c r="AA1860" s="36">
        <v>9.0587999999999997</v>
      </c>
      <c r="AB1860" s="54">
        <v>297.82940000000002</v>
      </c>
      <c r="AC1860" s="54">
        <v>60.846866666666671</v>
      </c>
      <c r="AD1860" s="36">
        <v>431.22120000000001</v>
      </c>
    </row>
    <row r="1861" spans="1:30" s="37" customFormat="1" ht="15.75" customHeight="1" x14ac:dyDescent="0.2">
      <c r="A1861" s="26">
        <v>101</v>
      </c>
      <c r="B1861" s="27" t="s">
        <v>2946</v>
      </c>
      <c r="C1861" s="27" t="s">
        <v>116</v>
      </c>
      <c r="D1861" s="28">
        <v>0.1</v>
      </c>
      <c r="E1861" s="29">
        <v>19.98</v>
      </c>
      <c r="F1861" s="29">
        <v>4</v>
      </c>
      <c r="G1861" s="30" t="s">
        <v>39</v>
      </c>
      <c r="H1861" s="27" t="s">
        <v>40</v>
      </c>
      <c r="I1861" s="27" t="s">
        <v>41</v>
      </c>
      <c r="J1861" s="27" t="s">
        <v>42</v>
      </c>
      <c r="K1861" s="27" t="s">
        <v>73</v>
      </c>
      <c r="L1861" s="31" t="s">
        <v>1761</v>
      </c>
      <c r="M1861" s="32">
        <v>0.68</v>
      </c>
      <c r="N1861" s="27" t="s">
        <v>33</v>
      </c>
      <c r="O1861" s="27" t="s">
        <v>111</v>
      </c>
      <c r="P1861" s="27" t="s">
        <v>331</v>
      </c>
      <c r="Q1861" s="27" t="s">
        <v>2947</v>
      </c>
      <c r="R1861" s="33">
        <v>4005</v>
      </c>
      <c r="S1861" s="34">
        <v>42177</v>
      </c>
      <c r="T1861" s="34">
        <v>42179</v>
      </c>
      <c r="U1861" s="29">
        <v>-16.2</v>
      </c>
      <c r="V1861" s="26">
        <v>16</v>
      </c>
      <c r="W1861" s="29">
        <v>303.58999999999997</v>
      </c>
      <c r="X1861" s="26">
        <v>88205</v>
      </c>
      <c r="Y1861" s="35">
        <v>4.1400000000000006</v>
      </c>
      <c r="Z1861" s="1" t="s">
        <v>3014</v>
      </c>
      <c r="AA1861" s="36">
        <v>31.968000000000004</v>
      </c>
      <c r="AB1861" s="54">
        <v>97.14879999999998</v>
      </c>
      <c r="AC1861" s="54">
        <v>12.902575000000001</v>
      </c>
      <c r="AD1861" s="36">
        <v>283.82199999999995</v>
      </c>
    </row>
    <row r="1862" spans="1:30" s="37" customFormat="1" ht="15.75" customHeight="1" x14ac:dyDescent="0.2">
      <c r="A1862" s="26">
        <v>1511</v>
      </c>
      <c r="B1862" s="27" t="s">
        <v>2934</v>
      </c>
      <c r="C1862" s="27" t="s">
        <v>26</v>
      </c>
      <c r="D1862" s="28">
        <v>0.09</v>
      </c>
      <c r="E1862" s="29">
        <v>20.98</v>
      </c>
      <c r="F1862" s="29">
        <v>1.49</v>
      </c>
      <c r="G1862" s="30" t="s">
        <v>39</v>
      </c>
      <c r="H1862" s="27" t="s">
        <v>94</v>
      </c>
      <c r="I1862" s="27" t="s">
        <v>49</v>
      </c>
      <c r="J1862" s="27" t="s">
        <v>72</v>
      </c>
      <c r="K1862" s="27" t="s">
        <v>73</v>
      </c>
      <c r="L1862" s="31" t="s">
        <v>2609</v>
      </c>
      <c r="M1862" s="32">
        <v>0.35</v>
      </c>
      <c r="N1862" s="27" t="s">
        <v>33</v>
      </c>
      <c r="O1862" s="27" t="s">
        <v>53</v>
      </c>
      <c r="P1862" s="27" t="s">
        <v>54</v>
      </c>
      <c r="Q1862" s="27" t="s">
        <v>2935</v>
      </c>
      <c r="R1862" s="33">
        <v>47302</v>
      </c>
      <c r="S1862" s="34">
        <v>42177</v>
      </c>
      <c r="T1862" s="34">
        <v>42179</v>
      </c>
      <c r="U1862" s="29">
        <v>199.1823</v>
      </c>
      <c r="V1862" s="26">
        <v>14</v>
      </c>
      <c r="W1862" s="29">
        <v>288.67</v>
      </c>
      <c r="X1862" s="26">
        <v>90303</v>
      </c>
      <c r="Y1862" s="35">
        <v>4.4400000000000004</v>
      </c>
      <c r="Z1862" s="1" t="s">
        <v>3012</v>
      </c>
      <c r="AA1862" s="36">
        <v>26.434799999999999</v>
      </c>
      <c r="AB1862" s="54">
        <v>187.63550000000001</v>
      </c>
      <c r="AC1862" s="54">
        <v>7.2167500000000002</v>
      </c>
      <c r="AD1862" s="36">
        <v>61.562900000000013</v>
      </c>
    </row>
    <row r="1863" spans="1:30" s="37" customFormat="1" ht="15.75" customHeight="1" x14ac:dyDescent="0.2">
      <c r="A1863" s="26">
        <v>1127</v>
      </c>
      <c r="B1863" s="27" t="s">
        <v>1345</v>
      </c>
      <c r="C1863" s="27" t="s">
        <v>48</v>
      </c>
      <c r="D1863" s="28">
        <v>0.04</v>
      </c>
      <c r="E1863" s="29">
        <v>4.71</v>
      </c>
      <c r="F1863" s="29">
        <v>0.7</v>
      </c>
      <c r="G1863" s="30" t="s">
        <v>39</v>
      </c>
      <c r="H1863" s="27" t="s">
        <v>40</v>
      </c>
      <c r="I1863" s="27" t="s">
        <v>49</v>
      </c>
      <c r="J1863" s="27" t="s">
        <v>176</v>
      </c>
      <c r="K1863" s="27" t="s">
        <v>51</v>
      </c>
      <c r="L1863" s="31" t="s">
        <v>2724</v>
      </c>
      <c r="M1863" s="32">
        <v>0.8</v>
      </c>
      <c r="N1863" s="27" t="s">
        <v>33</v>
      </c>
      <c r="O1863" s="27" t="s">
        <v>53</v>
      </c>
      <c r="P1863" s="27" t="s">
        <v>187</v>
      </c>
      <c r="Q1863" s="27" t="s">
        <v>1346</v>
      </c>
      <c r="R1863" s="33">
        <v>78852</v>
      </c>
      <c r="S1863" s="34">
        <v>42177</v>
      </c>
      <c r="T1863" s="34">
        <v>42181</v>
      </c>
      <c r="U1863" s="29">
        <v>4.53</v>
      </c>
      <c r="V1863" s="26">
        <v>19</v>
      </c>
      <c r="W1863" s="29">
        <v>90.52</v>
      </c>
      <c r="X1863" s="26">
        <v>87222</v>
      </c>
      <c r="Y1863" s="35">
        <v>19.88</v>
      </c>
      <c r="Z1863" s="1" t="s">
        <v>3012</v>
      </c>
      <c r="AA1863" s="36">
        <v>3.5796000000000001</v>
      </c>
      <c r="AB1863" s="54">
        <v>18.103999999999996</v>
      </c>
      <c r="AC1863" s="54">
        <v>3.8113684210526317</v>
      </c>
      <c r="AD1863" s="36">
        <v>81.710399999999993</v>
      </c>
    </row>
    <row r="1864" spans="1:30" s="37" customFormat="1" ht="15.75" customHeight="1" x14ac:dyDescent="0.2">
      <c r="A1864" s="26">
        <v>1128</v>
      </c>
      <c r="B1864" s="27" t="s">
        <v>2942</v>
      </c>
      <c r="C1864" s="27" t="s">
        <v>48</v>
      </c>
      <c r="D1864" s="28">
        <v>0.06</v>
      </c>
      <c r="E1864" s="29">
        <v>4.2</v>
      </c>
      <c r="F1864" s="29">
        <v>2.2599999999999998</v>
      </c>
      <c r="G1864" s="30" t="s">
        <v>39</v>
      </c>
      <c r="H1864" s="27" t="s">
        <v>40</v>
      </c>
      <c r="I1864" s="27" t="s">
        <v>49</v>
      </c>
      <c r="J1864" s="27" t="s">
        <v>88</v>
      </c>
      <c r="K1864" s="27" t="s">
        <v>51</v>
      </c>
      <c r="L1864" s="31" t="s">
        <v>596</v>
      </c>
      <c r="M1864" s="32">
        <v>0.36</v>
      </c>
      <c r="N1864" s="27" t="s">
        <v>33</v>
      </c>
      <c r="O1864" s="27" t="s">
        <v>53</v>
      </c>
      <c r="P1864" s="27" t="s">
        <v>187</v>
      </c>
      <c r="Q1864" s="27" t="s">
        <v>2943</v>
      </c>
      <c r="R1864" s="33">
        <v>78539</v>
      </c>
      <c r="S1864" s="34">
        <v>42177</v>
      </c>
      <c r="T1864" s="34">
        <v>42182</v>
      </c>
      <c r="U1864" s="29">
        <v>9.7799999999999994</v>
      </c>
      <c r="V1864" s="26">
        <v>13</v>
      </c>
      <c r="W1864" s="29">
        <v>55.97</v>
      </c>
      <c r="X1864" s="26">
        <v>87222</v>
      </c>
      <c r="Y1864" s="35">
        <v>19.88</v>
      </c>
      <c r="Z1864" s="1" t="s">
        <v>3012</v>
      </c>
      <c r="AA1864" s="36">
        <v>3.2759999999999998</v>
      </c>
      <c r="AB1864" s="54">
        <v>35.820799999999998</v>
      </c>
      <c r="AC1864" s="54">
        <v>1.5499384615384615</v>
      </c>
      <c r="AD1864" s="36">
        <v>40.653999999999996</v>
      </c>
    </row>
    <row r="1865" spans="1:30" s="37" customFormat="1" ht="15.75" customHeight="1" x14ac:dyDescent="0.2">
      <c r="A1865" s="26">
        <v>102</v>
      </c>
      <c r="B1865" s="27" t="s">
        <v>2042</v>
      </c>
      <c r="C1865" s="27" t="s">
        <v>116</v>
      </c>
      <c r="D1865" s="28">
        <v>0.09</v>
      </c>
      <c r="E1865" s="29">
        <v>2.88</v>
      </c>
      <c r="F1865" s="29">
        <v>1.49</v>
      </c>
      <c r="G1865" s="30" t="s">
        <v>39</v>
      </c>
      <c r="H1865" s="27" t="s">
        <v>40</v>
      </c>
      <c r="I1865" s="27" t="s">
        <v>49</v>
      </c>
      <c r="J1865" s="27" t="s">
        <v>72</v>
      </c>
      <c r="K1865" s="27" t="s">
        <v>73</v>
      </c>
      <c r="L1865" s="31" t="s">
        <v>2948</v>
      </c>
      <c r="M1865" s="32">
        <v>0.36</v>
      </c>
      <c r="N1865" s="27" t="s">
        <v>33</v>
      </c>
      <c r="O1865" s="27" t="s">
        <v>111</v>
      </c>
      <c r="P1865" s="27" t="s">
        <v>403</v>
      </c>
      <c r="Q1865" s="27" t="s">
        <v>788</v>
      </c>
      <c r="R1865" s="33">
        <v>2129</v>
      </c>
      <c r="S1865" s="34">
        <v>42177</v>
      </c>
      <c r="T1865" s="34">
        <v>42178</v>
      </c>
      <c r="U1865" s="29">
        <v>-3.3809999999999998</v>
      </c>
      <c r="V1865" s="26">
        <v>17</v>
      </c>
      <c r="W1865" s="29">
        <v>47.31</v>
      </c>
      <c r="X1865" s="26">
        <v>3397</v>
      </c>
      <c r="Y1865" s="35">
        <v>2.79</v>
      </c>
      <c r="Z1865" s="1" t="s">
        <v>3014</v>
      </c>
      <c r="AA1865" s="36">
        <v>4.4063999999999997</v>
      </c>
      <c r="AB1865" s="54">
        <v>30.278400000000001</v>
      </c>
      <c r="AC1865" s="54">
        <v>1.0018588235294119</v>
      </c>
      <c r="AD1865" s="36">
        <v>44.794600000000003</v>
      </c>
    </row>
    <row r="1866" spans="1:30" s="37" customFormat="1" ht="15.75" customHeight="1" x14ac:dyDescent="0.2">
      <c r="A1866" s="26">
        <v>2279</v>
      </c>
      <c r="B1866" s="27" t="s">
        <v>2944</v>
      </c>
      <c r="C1866" s="27" t="s">
        <v>48</v>
      </c>
      <c r="D1866" s="28">
        <v>0.04</v>
      </c>
      <c r="E1866" s="29">
        <v>4.4800000000000004</v>
      </c>
      <c r="F1866" s="29">
        <v>2.5</v>
      </c>
      <c r="G1866" s="30" t="s">
        <v>87</v>
      </c>
      <c r="H1866" s="27" t="s">
        <v>71</v>
      </c>
      <c r="I1866" s="27" t="s">
        <v>49</v>
      </c>
      <c r="J1866" s="27" t="s">
        <v>345</v>
      </c>
      <c r="K1866" s="27" t="s">
        <v>73</v>
      </c>
      <c r="L1866" s="31" t="s">
        <v>1021</v>
      </c>
      <c r="M1866" s="32">
        <v>0.37</v>
      </c>
      <c r="N1866" s="27" t="s">
        <v>33</v>
      </c>
      <c r="O1866" s="27" t="s">
        <v>111</v>
      </c>
      <c r="P1866" s="27" t="s">
        <v>320</v>
      </c>
      <c r="Q1866" s="27" t="s">
        <v>2945</v>
      </c>
      <c r="R1866" s="33">
        <v>15601</v>
      </c>
      <c r="S1866" s="34">
        <v>42177</v>
      </c>
      <c r="T1866" s="34">
        <v>42181</v>
      </c>
      <c r="U1866" s="29">
        <v>10.32</v>
      </c>
      <c r="V1866" s="26">
        <v>7</v>
      </c>
      <c r="W1866" s="29">
        <v>35.93</v>
      </c>
      <c r="X1866" s="26">
        <v>85949</v>
      </c>
      <c r="Y1866" s="35">
        <v>2.79</v>
      </c>
      <c r="Z1866" s="1" t="s">
        <v>3014</v>
      </c>
      <c r="AA1866" s="36">
        <v>1.2544000000000002</v>
      </c>
      <c r="AB1866" s="54">
        <v>22.635899999999999</v>
      </c>
      <c r="AC1866" s="54">
        <v>1.8991571428571428</v>
      </c>
      <c r="AD1866" s="36">
        <v>21.855599999999999</v>
      </c>
    </row>
    <row r="1867" spans="1:30" s="37" customFormat="1" ht="15.75" customHeight="1" x14ac:dyDescent="0.2">
      <c r="A1867" s="26">
        <v>2963</v>
      </c>
      <c r="B1867" s="27" t="s">
        <v>2937</v>
      </c>
      <c r="C1867" s="27" t="s">
        <v>26</v>
      </c>
      <c r="D1867" s="28">
        <v>0.01</v>
      </c>
      <c r="E1867" s="29">
        <v>7.98</v>
      </c>
      <c r="F1867" s="29">
        <v>6.5</v>
      </c>
      <c r="G1867" s="30" t="s">
        <v>39</v>
      </c>
      <c r="H1867" s="27" t="s">
        <v>40</v>
      </c>
      <c r="I1867" s="27" t="s">
        <v>49</v>
      </c>
      <c r="J1867" s="27" t="s">
        <v>78</v>
      </c>
      <c r="K1867" s="27" t="s">
        <v>144</v>
      </c>
      <c r="L1867" s="31" t="s">
        <v>2938</v>
      </c>
      <c r="M1867" s="32">
        <v>0.59</v>
      </c>
      <c r="N1867" s="27" t="s">
        <v>33</v>
      </c>
      <c r="O1867" s="27" t="s">
        <v>111</v>
      </c>
      <c r="P1867" s="27" t="s">
        <v>418</v>
      </c>
      <c r="Q1867" s="27" t="s">
        <v>2939</v>
      </c>
      <c r="R1867" s="33">
        <v>21220</v>
      </c>
      <c r="S1867" s="34">
        <v>42177</v>
      </c>
      <c r="T1867" s="34">
        <v>42178</v>
      </c>
      <c r="U1867" s="29">
        <v>-34.591999999999999</v>
      </c>
      <c r="V1867" s="26">
        <v>4</v>
      </c>
      <c r="W1867" s="29">
        <v>34.909999999999997</v>
      </c>
      <c r="X1867" s="26">
        <v>88612</v>
      </c>
      <c r="Y1867" s="35">
        <v>150.95999999999998</v>
      </c>
      <c r="Z1867" s="1" t="s">
        <v>3014</v>
      </c>
      <c r="AA1867" s="36">
        <v>0.31920000000000004</v>
      </c>
      <c r="AB1867" s="54">
        <v>14.3131</v>
      </c>
      <c r="AC1867" s="54">
        <v>5.1492249999999995</v>
      </c>
      <c r="AD1867" s="36">
        <v>62.6828</v>
      </c>
    </row>
    <row r="1868" spans="1:30" s="37" customFormat="1" ht="15.75" customHeight="1" x14ac:dyDescent="0.2">
      <c r="A1868" s="26">
        <v>109</v>
      </c>
      <c r="B1868" s="27" t="s">
        <v>2949</v>
      </c>
      <c r="C1868" s="27" t="s">
        <v>116</v>
      </c>
      <c r="D1868" s="28">
        <v>0.09</v>
      </c>
      <c r="E1868" s="29">
        <v>2.88</v>
      </c>
      <c r="F1868" s="29">
        <v>1.49</v>
      </c>
      <c r="G1868" s="30" t="s">
        <v>39</v>
      </c>
      <c r="H1868" s="27" t="s">
        <v>40</v>
      </c>
      <c r="I1868" s="27" t="s">
        <v>49</v>
      </c>
      <c r="J1868" s="27" t="s">
        <v>72</v>
      </c>
      <c r="K1868" s="27" t="s">
        <v>73</v>
      </c>
      <c r="L1868" s="31" t="s">
        <v>2948</v>
      </c>
      <c r="M1868" s="32">
        <v>0.36</v>
      </c>
      <c r="N1868" s="27" t="s">
        <v>33</v>
      </c>
      <c r="O1868" s="27" t="s">
        <v>111</v>
      </c>
      <c r="P1868" s="27" t="s">
        <v>397</v>
      </c>
      <c r="Q1868" s="27" t="s">
        <v>2950</v>
      </c>
      <c r="R1868" s="33">
        <v>7644</v>
      </c>
      <c r="S1868" s="34">
        <v>42177</v>
      </c>
      <c r="T1868" s="34">
        <v>42178</v>
      </c>
      <c r="U1868" s="29">
        <v>-2.7048000000000001</v>
      </c>
      <c r="V1868" s="26">
        <v>4</v>
      </c>
      <c r="W1868" s="29">
        <v>11.13</v>
      </c>
      <c r="X1868" s="26">
        <v>88205</v>
      </c>
      <c r="Y1868" s="35">
        <v>5.33</v>
      </c>
      <c r="Z1868" s="1" t="s">
        <v>3014</v>
      </c>
      <c r="AA1868" s="36">
        <v>1.0367999999999999</v>
      </c>
      <c r="AB1868" s="54">
        <v>7.1232000000000006</v>
      </c>
      <c r="AC1868" s="54">
        <v>1.0017</v>
      </c>
      <c r="AD1868" s="36">
        <v>11.308000000000002</v>
      </c>
    </row>
    <row r="1869" spans="1:30" s="37" customFormat="1" ht="15.75" customHeight="1" x14ac:dyDescent="0.2">
      <c r="A1869" s="26">
        <v>522</v>
      </c>
      <c r="B1869" s="27" t="s">
        <v>2951</v>
      </c>
      <c r="C1869" s="27" t="s">
        <v>116</v>
      </c>
      <c r="D1869" s="28">
        <v>0.1</v>
      </c>
      <c r="E1869" s="29">
        <v>5.43</v>
      </c>
      <c r="F1869" s="29">
        <v>0.95</v>
      </c>
      <c r="G1869" s="30" t="s">
        <v>39</v>
      </c>
      <c r="H1869" s="27" t="s">
        <v>3095</v>
      </c>
      <c r="I1869" s="27" t="s">
        <v>49</v>
      </c>
      <c r="J1869" s="27" t="s">
        <v>88</v>
      </c>
      <c r="K1869" s="27" t="s">
        <v>51</v>
      </c>
      <c r="L1869" s="31" t="s">
        <v>2263</v>
      </c>
      <c r="M1869" s="32">
        <v>0.36</v>
      </c>
      <c r="N1869" s="27" t="s">
        <v>33</v>
      </c>
      <c r="O1869" s="27" t="s">
        <v>60</v>
      </c>
      <c r="P1869" s="27" t="s">
        <v>139</v>
      </c>
      <c r="Q1869" s="27" t="s">
        <v>842</v>
      </c>
      <c r="R1869" s="33">
        <v>97756</v>
      </c>
      <c r="S1869" s="34">
        <v>42177</v>
      </c>
      <c r="T1869" s="34">
        <v>42179</v>
      </c>
      <c r="U1869" s="29">
        <v>-2.58</v>
      </c>
      <c r="V1869" s="26">
        <v>1</v>
      </c>
      <c r="W1869" s="29">
        <v>5.76</v>
      </c>
      <c r="X1869" s="26">
        <v>89327</v>
      </c>
      <c r="Y1869" s="35">
        <v>179.28</v>
      </c>
      <c r="Z1869" s="1" t="s">
        <v>3013</v>
      </c>
      <c r="AA1869" s="36">
        <v>0.54300000000000004</v>
      </c>
      <c r="AB1869" s="54">
        <v>3.6863999999999999</v>
      </c>
      <c r="AC1869" s="54">
        <v>2.0735999999999999</v>
      </c>
      <c r="AD1869" s="36">
        <v>6.8469999999999995</v>
      </c>
    </row>
    <row r="1870" spans="1:30" s="37" customFormat="1" ht="15.75" customHeight="1" x14ac:dyDescent="0.2">
      <c r="A1870" s="26">
        <v>1548</v>
      </c>
      <c r="B1870" s="27" t="s">
        <v>2955</v>
      </c>
      <c r="C1870" s="27" t="s">
        <v>48</v>
      </c>
      <c r="D1870" s="28">
        <v>0</v>
      </c>
      <c r="E1870" s="29">
        <v>599.99</v>
      </c>
      <c r="F1870" s="29">
        <v>24.49</v>
      </c>
      <c r="G1870" s="30" t="s">
        <v>39</v>
      </c>
      <c r="H1870" s="27" t="s">
        <v>94</v>
      </c>
      <c r="I1870" s="27" t="s">
        <v>41</v>
      </c>
      <c r="J1870" s="27" t="s">
        <v>64</v>
      </c>
      <c r="K1870" s="27" t="s">
        <v>65</v>
      </c>
      <c r="L1870" s="31" t="s">
        <v>2956</v>
      </c>
      <c r="M1870" s="32">
        <v>0.44</v>
      </c>
      <c r="N1870" s="27" t="s">
        <v>33</v>
      </c>
      <c r="O1870" s="27" t="s">
        <v>53</v>
      </c>
      <c r="P1870" s="27" t="s">
        <v>54</v>
      </c>
      <c r="Q1870" s="27" t="s">
        <v>2432</v>
      </c>
      <c r="R1870" s="33">
        <v>47374</v>
      </c>
      <c r="S1870" s="34">
        <v>42178</v>
      </c>
      <c r="T1870" s="34">
        <v>42180</v>
      </c>
      <c r="U1870" s="29">
        <v>-367.16500000000002</v>
      </c>
      <c r="V1870" s="26">
        <v>18</v>
      </c>
      <c r="W1870" s="29">
        <v>11015.82</v>
      </c>
      <c r="X1870" s="26">
        <v>88487</v>
      </c>
      <c r="Y1870" s="35">
        <v>200.89</v>
      </c>
      <c r="Z1870" s="1" t="s">
        <v>3012</v>
      </c>
      <c r="AA1870" s="36">
        <v>0</v>
      </c>
      <c r="AB1870" s="54">
        <v>6168.8592000000008</v>
      </c>
      <c r="AC1870" s="54">
        <v>269.2756</v>
      </c>
      <c r="AD1870" s="36">
        <v>11358.494999999999</v>
      </c>
    </row>
    <row r="1871" spans="1:30" s="37" customFormat="1" ht="15.75" customHeight="1" x14ac:dyDescent="0.2">
      <c r="A1871" s="26">
        <v>445</v>
      </c>
      <c r="B1871" s="27" t="s">
        <v>2142</v>
      </c>
      <c r="C1871" s="27" t="s">
        <v>38</v>
      </c>
      <c r="D1871" s="28">
        <v>0.09</v>
      </c>
      <c r="E1871" s="29">
        <v>200.98</v>
      </c>
      <c r="F1871" s="29">
        <v>55.96</v>
      </c>
      <c r="G1871" s="30" t="s">
        <v>27</v>
      </c>
      <c r="H1871" s="27" t="s">
        <v>3095</v>
      </c>
      <c r="I1871" s="27" t="s">
        <v>29</v>
      </c>
      <c r="J1871" s="27" t="s">
        <v>117</v>
      </c>
      <c r="K1871" s="27" t="s">
        <v>31</v>
      </c>
      <c r="L1871" s="31" t="s">
        <v>1639</v>
      </c>
      <c r="M1871" s="32">
        <v>0.75</v>
      </c>
      <c r="N1871" s="27" t="s">
        <v>33</v>
      </c>
      <c r="O1871" s="27" t="s">
        <v>53</v>
      </c>
      <c r="P1871" s="27" t="s">
        <v>133</v>
      </c>
      <c r="Q1871" s="27" t="s">
        <v>1377</v>
      </c>
      <c r="R1871" s="33">
        <v>68701</v>
      </c>
      <c r="S1871" s="34">
        <v>42178</v>
      </c>
      <c r="T1871" s="34">
        <v>42179</v>
      </c>
      <c r="U1871" s="29">
        <v>-512.87199999999996</v>
      </c>
      <c r="V1871" s="26">
        <v>9</v>
      </c>
      <c r="W1871" s="29">
        <v>1766.68</v>
      </c>
      <c r="X1871" s="26">
        <v>88084</v>
      </c>
      <c r="Y1871" s="35">
        <v>2.69</v>
      </c>
      <c r="Z1871" s="1" t="s">
        <v>3012</v>
      </c>
      <c r="AA1871" s="36">
        <v>162.79379999999998</v>
      </c>
      <c r="AB1871" s="54">
        <v>441.67</v>
      </c>
      <c r="AC1871" s="54">
        <v>147.22333333333333</v>
      </c>
      <c r="AD1871" s="36">
        <v>2060.7982000000002</v>
      </c>
    </row>
    <row r="1872" spans="1:30" s="37" customFormat="1" ht="15.75" customHeight="1" x14ac:dyDescent="0.2">
      <c r="A1872" s="26">
        <v>2352</v>
      </c>
      <c r="B1872" s="27" t="s">
        <v>2918</v>
      </c>
      <c r="C1872" s="27" t="s">
        <v>3094</v>
      </c>
      <c r="D1872" s="28">
        <v>0.09</v>
      </c>
      <c r="E1872" s="29">
        <v>71.37</v>
      </c>
      <c r="F1872" s="29">
        <v>69</v>
      </c>
      <c r="G1872" s="30" t="s">
        <v>39</v>
      </c>
      <c r="H1872" s="27" t="s">
        <v>71</v>
      </c>
      <c r="I1872" s="27" t="s">
        <v>29</v>
      </c>
      <c r="J1872" s="27" t="s">
        <v>30</v>
      </c>
      <c r="K1872" s="27" t="s">
        <v>65</v>
      </c>
      <c r="L1872" s="31" t="s">
        <v>1031</v>
      </c>
      <c r="M1872" s="32">
        <v>0.68</v>
      </c>
      <c r="N1872" s="27" t="s">
        <v>33</v>
      </c>
      <c r="O1872" s="27" t="s">
        <v>111</v>
      </c>
      <c r="P1872" s="27" t="s">
        <v>418</v>
      </c>
      <c r="Q1872" s="27" t="s">
        <v>2919</v>
      </c>
      <c r="R1872" s="33">
        <v>21501</v>
      </c>
      <c r="S1872" s="34">
        <v>42178</v>
      </c>
      <c r="T1872" s="34">
        <v>42179</v>
      </c>
      <c r="U1872" s="29">
        <v>-1537.1356000000001</v>
      </c>
      <c r="V1872" s="26">
        <v>19</v>
      </c>
      <c r="W1872" s="29">
        <v>1302.98</v>
      </c>
      <c r="X1872" s="26">
        <v>86166</v>
      </c>
      <c r="Y1872" s="35">
        <v>180.92</v>
      </c>
      <c r="Z1872" s="1" t="s">
        <v>3014</v>
      </c>
      <c r="AA1872" s="36">
        <v>122.04270000000001</v>
      </c>
      <c r="AB1872" s="54">
        <v>416.95359999999994</v>
      </c>
      <c r="AC1872" s="54">
        <v>46.632968421052638</v>
      </c>
      <c r="AD1872" s="36">
        <v>2649.0729000000001</v>
      </c>
    </row>
    <row r="1873" spans="1:30" s="37" customFormat="1" ht="15.75" customHeight="1" x14ac:dyDescent="0.2">
      <c r="A1873" s="26">
        <v>2216</v>
      </c>
      <c r="B1873" s="27" t="s">
        <v>2959</v>
      </c>
      <c r="C1873" s="27" t="s">
        <v>48</v>
      </c>
      <c r="D1873" s="28">
        <v>0.02</v>
      </c>
      <c r="E1873" s="29">
        <v>256.99</v>
      </c>
      <c r="F1873" s="29">
        <v>11.25</v>
      </c>
      <c r="G1873" s="30" t="s">
        <v>39</v>
      </c>
      <c r="H1873" s="27" t="s">
        <v>94</v>
      </c>
      <c r="I1873" s="27" t="s">
        <v>41</v>
      </c>
      <c r="J1873" s="27" t="s">
        <v>42</v>
      </c>
      <c r="K1873" s="27" t="s">
        <v>73</v>
      </c>
      <c r="L1873" s="31" t="s">
        <v>2621</v>
      </c>
      <c r="M1873" s="32">
        <v>0.51</v>
      </c>
      <c r="N1873" s="27" t="s">
        <v>33</v>
      </c>
      <c r="O1873" s="27" t="s">
        <v>111</v>
      </c>
      <c r="P1873" s="27" t="s">
        <v>317</v>
      </c>
      <c r="Q1873" s="27" t="s">
        <v>2133</v>
      </c>
      <c r="R1873" s="33">
        <v>44256</v>
      </c>
      <c r="S1873" s="34">
        <v>42178</v>
      </c>
      <c r="T1873" s="34">
        <v>42185</v>
      </c>
      <c r="U1873" s="29">
        <v>-214.10400000000001</v>
      </c>
      <c r="V1873" s="26">
        <v>3</v>
      </c>
      <c r="W1873" s="29">
        <v>808.44</v>
      </c>
      <c r="X1873" s="26">
        <v>90314</v>
      </c>
      <c r="Y1873" s="35">
        <v>599.99</v>
      </c>
      <c r="Z1873" s="1" t="s">
        <v>3014</v>
      </c>
      <c r="AA1873" s="36">
        <v>15.4194</v>
      </c>
      <c r="AB1873" s="54">
        <v>396.13560000000001</v>
      </c>
      <c r="AC1873" s="54">
        <v>137.43480000000002</v>
      </c>
      <c r="AD1873" s="36">
        <v>995.8746000000001</v>
      </c>
    </row>
    <row r="1874" spans="1:30" s="37" customFormat="1" ht="15.75" customHeight="1" x14ac:dyDescent="0.2">
      <c r="A1874" s="26">
        <v>2333</v>
      </c>
      <c r="B1874" s="27" t="s">
        <v>2953</v>
      </c>
      <c r="C1874" s="27" t="s">
        <v>38</v>
      </c>
      <c r="D1874" s="28">
        <v>0.06</v>
      </c>
      <c r="E1874" s="29">
        <v>180.98</v>
      </c>
      <c r="F1874" s="29">
        <v>26.2</v>
      </c>
      <c r="G1874" s="30" t="s">
        <v>27</v>
      </c>
      <c r="H1874" s="27" t="s">
        <v>3095</v>
      </c>
      <c r="I1874" s="27" t="s">
        <v>29</v>
      </c>
      <c r="J1874" s="27" t="s">
        <v>109</v>
      </c>
      <c r="K1874" s="27" t="s">
        <v>58</v>
      </c>
      <c r="L1874" s="31" t="s">
        <v>2274</v>
      </c>
      <c r="M1874" s="32">
        <v>0.59</v>
      </c>
      <c r="N1874" s="27" t="s">
        <v>33</v>
      </c>
      <c r="O1874" s="27" t="s">
        <v>53</v>
      </c>
      <c r="P1874" s="27" t="s">
        <v>357</v>
      </c>
      <c r="Q1874" s="27" t="s">
        <v>2954</v>
      </c>
      <c r="R1874" s="33">
        <v>54302</v>
      </c>
      <c r="S1874" s="34">
        <v>42178</v>
      </c>
      <c r="T1874" s="34">
        <v>42179</v>
      </c>
      <c r="U1874" s="29">
        <v>-122.235</v>
      </c>
      <c r="V1874" s="26">
        <v>1</v>
      </c>
      <c r="W1874" s="29">
        <v>191.73</v>
      </c>
      <c r="X1874" s="26">
        <v>89611</v>
      </c>
      <c r="Y1874" s="35">
        <v>3.21</v>
      </c>
      <c r="Z1874" s="1" t="s">
        <v>3012</v>
      </c>
      <c r="AA1874" s="36">
        <v>10.858799999999999</v>
      </c>
      <c r="AB1874" s="54">
        <v>78.609300000000005</v>
      </c>
      <c r="AC1874" s="54">
        <v>113.12069999999999</v>
      </c>
      <c r="AD1874" s="36">
        <v>276.90620000000001</v>
      </c>
    </row>
    <row r="1875" spans="1:30" s="37" customFormat="1" ht="15.75" customHeight="1" x14ac:dyDescent="0.2">
      <c r="A1875" s="26">
        <v>2216</v>
      </c>
      <c r="B1875" s="27" t="s">
        <v>2959</v>
      </c>
      <c r="C1875" s="27" t="s">
        <v>48</v>
      </c>
      <c r="D1875" s="28">
        <v>0.01</v>
      </c>
      <c r="E1875" s="29">
        <v>6.48</v>
      </c>
      <c r="F1875" s="29">
        <v>5.14</v>
      </c>
      <c r="G1875" s="30" t="s">
        <v>39</v>
      </c>
      <c r="H1875" s="27" t="s">
        <v>94</v>
      </c>
      <c r="I1875" s="27" t="s">
        <v>49</v>
      </c>
      <c r="J1875" s="27" t="s">
        <v>88</v>
      </c>
      <c r="K1875" s="27" t="s">
        <v>73</v>
      </c>
      <c r="L1875" s="31" t="s">
        <v>1745</v>
      </c>
      <c r="M1875" s="32">
        <v>0.37</v>
      </c>
      <c r="N1875" s="27" t="s">
        <v>33</v>
      </c>
      <c r="O1875" s="27" t="s">
        <v>111</v>
      </c>
      <c r="P1875" s="27" t="s">
        <v>317</v>
      </c>
      <c r="Q1875" s="27" t="s">
        <v>2133</v>
      </c>
      <c r="R1875" s="33">
        <v>44256</v>
      </c>
      <c r="S1875" s="34">
        <v>42178</v>
      </c>
      <c r="T1875" s="34">
        <v>42180</v>
      </c>
      <c r="U1875" s="29">
        <v>-26.936</v>
      </c>
      <c r="V1875" s="26">
        <v>10</v>
      </c>
      <c r="W1875" s="29">
        <v>67.41</v>
      </c>
      <c r="X1875" s="26">
        <v>90314</v>
      </c>
      <c r="Y1875" s="35">
        <v>256.97000000000003</v>
      </c>
      <c r="Z1875" s="1" t="s">
        <v>3014</v>
      </c>
      <c r="AA1875" s="36">
        <v>0.64800000000000013</v>
      </c>
      <c r="AB1875" s="54">
        <v>42.468299999999999</v>
      </c>
      <c r="AC1875" s="54">
        <v>2.49417</v>
      </c>
      <c r="AD1875" s="36">
        <v>88.557999999999993</v>
      </c>
    </row>
    <row r="1876" spans="1:30" s="37" customFormat="1" ht="15.75" customHeight="1" x14ac:dyDescent="0.2">
      <c r="A1876" s="26">
        <v>445</v>
      </c>
      <c r="B1876" s="27" t="s">
        <v>2142</v>
      </c>
      <c r="C1876" s="27" t="s">
        <v>38</v>
      </c>
      <c r="D1876" s="28">
        <v>0.09</v>
      </c>
      <c r="E1876" s="29">
        <v>2.78</v>
      </c>
      <c r="F1876" s="29">
        <v>0.97</v>
      </c>
      <c r="G1876" s="30" t="s">
        <v>39</v>
      </c>
      <c r="H1876" s="27" t="s">
        <v>3095</v>
      </c>
      <c r="I1876" s="27" t="s">
        <v>49</v>
      </c>
      <c r="J1876" s="27" t="s">
        <v>50</v>
      </c>
      <c r="K1876" s="27" t="s">
        <v>51</v>
      </c>
      <c r="L1876" s="31" t="s">
        <v>2952</v>
      </c>
      <c r="M1876" s="32">
        <v>0.59</v>
      </c>
      <c r="N1876" s="27" t="s">
        <v>33</v>
      </c>
      <c r="O1876" s="27" t="s">
        <v>53</v>
      </c>
      <c r="P1876" s="27" t="s">
        <v>133</v>
      </c>
      <c r="Q1876" s="27" t="s">
        <v>1377</v>
      </c>
      <c r="R1876" s="33">
        <v>68701</v>
      </c>
      <c r="S1876" s="34">
        <v>42178</v>
      </c>
      <c r="T1876" s="34">
        <v>42179</v>
      </c>
      <c r="U1876" s="29">
        <v>-3.7839999999999998</v>
      </c>
      <c r="V1876" s="26">
        <v>11</v>
      </c>
      <c r="W1876" s="29">
        <v>29.02</v>
      </c>
      <c r="X1876" s="26">
        <v>88084</v>
      </c>
      <c r="Y1876" s="35">
        <v>6.4700000000000006</v>
      </c>
      <c r="Z1876" s="1" t="s">
        <v>3012</v>
      </c>
      <c r="AA1876" s="36">
        <v>2.7521999999999998</v>
      </c>
      <c r="AB1876" s="54">
        <v>11.898200000000001</v>
      </c>
      <c r="AC1876" s="54">
        <v>1.5565272727272725</v>
      </c>
      <c r="AD1876" s="36">
        <v>29.081800000000001</v>
      </c>
    </row>
    <row r="1877" spans="1:30" s="37" customFormat="1" ht="15.75" customHeight="1" x14ac:dyDescent="0.2">
      <c r="A1877" s="26">
        <v>2215</v>
      </c>
      <c r="B1877" s="27" t="s">
        <v>2957</v>
      </c>
      <c r="C1877" s="27" t="s">
        <v>48</v>
      </c>
      <c r="D1877" s="28">
        <v>7.0000000000000007E-2</v>
      </c>
      <c r="E1877" s="29">
        <v>3.28</v>
      </c>
      <c r="F1877" s="29">
        <v>3.97</v>
      </c>
      <c r="G1877" s="30" t="s">
        <v>39</v>
      </c>
      <c r="H1877" s="27" t="s">
        <v>94</v>
      </c>
      <c r="I1877" s="27" t="s">
        <v>49</v>
      </c>
      <c r="J1877" s="27" t="s">
        <v>50</v>
      </c>
      <c r="K1877" s="27" t="s">
        <v>51</v>
      </c>
      <c r="L1877" s="31" t="s">
        <v>367</v>
      </c>
      <c r="M1877" s="32">
        <v>0.56000000000000005</v>
      </c>
      <c r="N1877" s="27" t="s">
        <v>33</v>
      </c>
      <c r="O1877" s="27" t="s">
        <v>111</v>
      </c>
      <c r="P1877" s="27" t="s">
        <v>317</v>
      </c>
      <c r="Q1877" s="27" t="s">
        <v>2958</v>
      </c>
      <c r="R1877" s="33">
        <v>44646</v>
      </c>
      <c r="S1877" s="34">
        <v>42178</v>
      </c>
      <c r="T1877" s="34">
        <v>42178</v>
      </c>
      <c r="U1877" s="29">
        <v>-22.175999999999998</v>
      </c>
      <c r="V1877" s="26">
        <v>4</v>
      </c>
      <c r="W1877" s="29">
        <v>14.76</v>
      </c>
      <c r="X1877" s="26">
        <v>90314</v>
      </c>
      <c r="Y1877" s="35">
        <v>71.28</v>
      </c>
      <c r="Z1877" s="1" t="s">
        <v>3014</v>
      </c>
      <c r="AA1877" s="36">
        <v>0.91839999999999999</v>
      </c>
      <c r="AB1877" s="54">
        <v>6.4943999999999988</v>
      </c>
      <c r="AC1877" s="54">
        <v>2.0664000000000002</v>
      </c>
      <c r="AD1877" s="36">
        <v>32.047600000000003</v>
      </c>
    </row>
    <row r="1878" spans="1:30" s="37" customFormat="1" ht="15.75" customHeight="1" x14ac:dyDescent="0.2">
      <c r="A1878" s="26">
        <v>3084</v>
      </c>
      <c r="B1878" s="27" t="s">
        <v>2234</v>
      </c>
      <c r="C1878" s="27" t="s">
        <v>3094</v>
      </c>
      <c r="D1878" s="28">
        <v>0.01</v>
      </c>
      <c r="E1878" s="29">
        <v>7.1</v>
      </c>
      <c r="F1878" s="29">
        <v>6.05</v>
      </c>
      <c r="G1878" s="30" t="s">
        <v>39</v>
      </c>
      <c r="H1878" s="27" t="s">
        <v>3095</v>
      </c>
      <c r="I1878" s="27" t="s">
        <v>49</v>
      </c>
      <c r="J1878" s="27" t="s">
        <v>72</v>
      </c>
      <c r="K1878" s="27" t="s">
        <v>73</v>
      </c>
      <c r="L1878" s="31" t="s">
        <v>251</v>
      </c>
      <c r="M1878" s="32">
        <v>0.39</v>
      </c>
      <c r="N1878" s="27" t="s">
        <v>33</v>
      </c>
      <c r="O1878" s="27" t="s">
        <v>60</v>
      </c>
      <c r="P1878" s="27" t="s">
        <v>67</v>
      </c>
      <c r="Q1878" s="27" t="s">
        <v>487</v>
      </c>
      <c r="R1878" s="33">
        <v>98503</v>
      </c>
      <c r="S1878" s="34">
        <v>42179</v>
      </c>
      <c r="T1878" s="34">
        <v>42180</v>
      </c>
      <c r="U1878" s="29">
        <v>-39.186250000000001</v>
      </c>
      <c r="V1878" s="26">
        <v>18</v>
      </c>
      <c r="W1878" s="29">
        <v>133.19</v>
      </c>
      <c r="X1878" s="26">
        <v>89880</v>
      </c>
      <c r="Y1878" s="35">
        <v>20.9</v>
      </c>
      <c r="Z1878" s="1" t="s">
        <v>3013</v>
      </c>
      <c r="AA1878" s="36">
        <v>1.2779999999999998</v>
      </c>
      <c r="AB1878" s="54">
        <v>81.245899999999992</v>
      </c>
      <c r="AC1878" s="54">
        <v>2.8857833333333334</v>
      </c>
      <c r="AD1878" s="36">
        <v>165.04825</v>
      </c>
    </row>
    <row r="1879" spans="1:30" s="37" customFormat="1" ht="15.75" customHeight="1" x14ac:dyDescent="0.2">
      <c r="A1879" s="26">
        <v>3325</v>
      </c>
      <c r="B1879" s="27" t="s">
        <v>2283</v>
      </c>
      <c r="C1879" s="27" t="s">
        <v>48</v>
      </c>
      <c r="D1879" s="28">
        <v>0</v>
      </c>
      <c r="E1879" s="29">
        <v>8.74</v>
      </c>
      <c r="F1879" s="29">
        <v>8.2899999999999991</v>
      </c>
      <c r="G1879" s="30" t="s">
        <v>39</v>
      </c>
      <c r="H1879" s="27" t="s">
        <v>40</v>
      </c>
      <c r="I1879" s="27" t="s">
        <v>49</v>
      </c>
      <c r="J1879" s="27" t="s">
        <v>345</v>
      </c>
      <c r="K1879" s="27" t="s">
        <v>73</v>
      </c>
      <c r="L1879" s="31" t="s">
        <v>440</v>
      </c>
      <c r="M1879" s="32">
        <v>0.38</v>
      </c>
      <c r="N1879" s="27" t="s">
        <v>33</v>
      </c>
      <c r="O1879" s="27" t="s">
        <v>60</v>
      </c>
      <c r="P1879" s="27" t="s">
        <v>139</v>
      </c>
      <c r="Q1879" s="27" t="s">
        <v>2285</v>
      </c>
      <c r="R1879" s="33">
        <v>97420</v>
      </c>
      <c r="S1879" s="34">
        <v>42179</v>
      </c>
      <c r="T1879" s="34">
        <v>42181</v>
      </c>
      <c r="U1879" s="29">
        <v>-79.400000000000006</v>
      </c>
      <c r="V1879" s="26">
        <v>14</v>
      </c>
      <c r="W1879" s="29">
        <v>131.62</v>
      </c>
      <c r="X1879" s="26">
        <v>90986</v>
      </c>
      <c r="Y1879" s="35">
        <v>8.74</v>
      </c>
      <c r="Z1879" s="1" t="s">
        <v>3013</v>
      </c>
      <c r="AA1879" s="36">
        <v>0</v>
      </c>
      <c r="AB1879" s="54">
        <v>81.604399999999998</v>
      </c>
      <c r="AC1879" s="54">
        <v>3.572542857142857</v>
      </c>
      <c r="AD1879" s="36">
        <v>202.73000000000002</v>
      </c>
    </row>
    <row r="1880" spans="1:30" s="37" customFormat="1" ht="15.75" customHeight="1" x14ac:dyDescent="0.2">
      <c r="A1880" s="26">
        <v>2044</v>
      </c>
      <c r="B1880" s="27" t="s">
        <v>2960</v>
      </c>
      <c r="C1880" s="27" t="s">
        <v>48</v>
      </c>
      <c r="D1880" s="28">
        <v>0.09</v>
      </c>
      <c r="E1880" s="29">
        <v>20.99</v>
      </c>
      <c r="F1880" s="29">
        <v>2.5</v>
      </c>
      <c r="G1880" s="30" t="s">
        <v>39</v>
      </c>
      <c r="H1880" s="27" t="s">
        <v>94</v>
      </c>
      <c r="I1880" s="27" t="s">
        <v>41</v>
      </c>
      <c r="J1880" s="27" t="s">
        <v>135</v>
      </c>
      <c r="K1880" s="27" t="s">
        <v>51</v>
      </c>
      <c r="L1880" s="31" t="s">
        <v>1201</v>
      </c>
      <c r="M1880" s="32">
        <v>0.81</v>
      </c>
      <c r="N1880" s="27" t="s">
        <v>33</v>
      </c>
      <c r="O1880" s="27" t="s">
        <v>34</v>
      </c>
      <c r="P1880" s="27" t="s">
        <v>45</v>
      </c>
      <c r="Q1880" s="27" t="s">
        <v>2961</v>
      </c>
      <c r="R1880" s="33">
        <v>72756</v>
      </c>
      <c r="S1880" s="34">
        <v>42179</v>
      </c>
      <c r="T1880" s="34">
        <v>42186</v>
      </c>
      <c r="U1880" s="29">
        <v>-136.12200000000001</v>
      </c>
      <c r="V1880" s="26">
        <v>6</v>
      </c>
      <c r="W1880" s="29">
        <v>100.11</v>
      </c>
      <c r="X1880" s="26">
        <v>88692</v>
      </c>
      <c r="Y1880" s="35">
        <v>10.600000000000001</v>
      </c>
      <c r="Z1880" s="1" t="s">
        <v>3011</v>
      </c>
      <c r="AA1880" s="36">
        <v>11.334599999999998</v>
      </c>
      <c r="AB1880" s="54">
        <v>19.020899999999994</v>
      </c>
      <c r="AC1880" s="54">
        <v>13.514849999999999</v>
      </c>
      <c r="AD1880" s="36">
        <v>222.3974</v>
      </c>
    </row>
    <row r="1881" spans="1:30" s="37" customFormat="1" ht="15.75" customHeight="1" x14ac:dyDescent="0.2">
      <c r="A1881" s="26">
        <v>3084</v>
      </c>
      <c r="B1881" s="27" t="s">
        <v>2234</v>
      </c>
      <c r="C1881" s="27" t="s">
        <v>3094</v>
      </c>
      <c r="D1881" s="28">
        <v>0.05</v>
      </c>
      <c r="E1881" s="29">
        <v>18.97</v>
      </c>
      <c r="F1881" s="29">
        <v>9.0299999999999994</v>
      </c>
      <c r="G1881" s="30" t="s">
        <v>39</v>
      </c>
      <c r="H1881" s="27" t="s">
        <v>3095</v>
      </c>
      <c r="I1881" s="27" t="s">
        <v>49</v>
      </c>
      <c r="J1881" s="27" t="s">
        <v>88</v>
      </c>
      <c r="K1881" s="27" t="s">
        <v>73</v>
      </c>
      <c r="L1881" s="31" t="s">
        <v>630</v>
      </c>
      <c r="M1881" s="32">
        <v>0.37</v>
      </c>
      <c r="N1881" s="27" t="s">
        <v>33</v>
      </c>
      <c r="O1881" s="27" t="s">
        <v>60</v>
      </c>
      <c r="P1881" s="27" t="s">
        <v>67</v>
      </c>
      <c r="Q1881" s="27" t="s">
        <v>487</v>
      </c>
      <c r="R1881" s="33">
        <v>98503</v>
      </c>
      <c r="S1881" s="34">
        <v>42179</v>
      </c>
      <c r="T1881" s="34">
        <v>42180</v>
      </c>
      <c r="U1881" s="29">
        <v>-1.89</v>
      </c>
      <c r="V1881" s="26">
        <v>5</v>
      </c>
      <c r="W1881" s="29">
        <v>97.33</v>
      </c>
      <c r="X1881" s="26">
        <v>89880</v>
      </c>
      <c r="Y1881" s="35">
        <v>2.75</v>
      </c>
      <c r="Z1881" s="1" t="s">
        <v>3013</v>
      </c>
      <c r="AA1881" s="36">
        <v>4.7424999999999997</v>
      </c>
      <c r="AB1881" s="54">
        <v>61.317900000000002</v>
      </c>
      <c r="AC1881" s="54">
        <v>7.20242</v>
      </c>
      <c r="AD1881" s="36">
        <v>85.447499999999991</v>
      </c>
    </row>
    <row r="1882" spans="1:30" s="37" customFormat="1" ht="15.75" customHeight="1" x14ac:dyDescent="0.2">
      <c r="A1882" s="26">
        <v>721</v>
      </c>
      <c r="B1882" s="27" t="s">
        <v>2140</v>
      </c>
      <c r="C1882" s="27" t="s">
        <v>3094</v>
      </c>
      <c r="D1882" s="28">
        <v>0.04</v>
      </c>
      <c r="E1882" s="29">
        <v>10.64</v>
      </c>
      <c r="F1882" s="29">
        <v>5.16</v>
      </c>
      <c r="G1882" s="30" t="s">
        <v>39</v>
      </c>
      <c r="H1882" s="27" t="s">
        <v>94</v>
      </c>
      <c r="I1882" s="27" t="s">
        <v>29</v>
      </c>
      <c r="J1882" s="27" t="s">
        <v>126</v>
      </c>
      <c r="K1882" s="27" t="s">
        <v>73</v>
      </c>
      <c r="L1882" s="31" t="s">
        <v>1844</v>
      </c>
      <c r="M1882" s="32">
        <v>0.56999999999999995</v>
      </c>
      <c r="N1882" s="27" t="s">
        <v>33</v>
      </c>
      <c r="O1882" s="27" t="s">
        <v>53</v>
      </c>
      <c r="P1882" s="27" t="s">
        <v>54</v>
      </c>
      <c r="Q1882" s="27" t="s">
        <v>2141</v>
      </c>
      <c r="R1882" s="33">
        <v>46041</v>
      </c>
      <c r="S1882" s="34">
        <v>42179</v>
      </c>
      <c r="T1882" s="34">
        <v>42180</v>
      </c>
      <c r="U1882" s="29">
        <v>24.096</v>
      </c>
      <c r="V1882" s="26">
        <v>6</v>
      </c>
      <c r="W1882" s="29">
        <v>66.900000000000006</v>
      </c>
      <c r="X1882" s="26">
        <v>91053</v>
      </c>
      <c r="Y1882" s="35">
        <v>7.09</v>
      </c>
      <c r="Z1882" s="1" t="s">
        <v>3012</v>
      </c>
      <c r="AA1882" s="36">
        <v>2.5536000000000003</v>
      </c>
      <c r="AB1882" s="54">
        <v>28.767000000000007</v>
      </c>
      <c r="AC1882" s="54">
        <v>6.3554999999999993</v>
      </c>
      <c r="AD1882" s="36">
        <v>35.090400000000002</v>
      </c>
    </row>
    <row r="1883" spans="1:30" s="37" customFormat="1" ht="15.75" customHeight="1" x14ac:dyDescent="0.2">
      <c r="A1883" s="26">
        <v>721</v>
      </c>
      <c r="B1883" s="27" t="s">
        <v>2140</v>
      </c>
      <c r="C1883" s="27" t="s">
        <v>3094</v>
      </c>
      <c r="D1883" s="28">
        <v>0.03</v>
      </c>
      <c r="E1883" s="29">
        <v>2.78</v>
      </c>
      <c r="F1883" s="29">
        <v>1.34</v>
      </c>
      <c r="G1883" s="30" t="s">
        <v>87</v>
      </c>
      <c r="H1883" s="27" t="s">
        <v>94</v>
      </c>
      <c r="I1883" s="27" t="s">
        <v>49</v>
      </c>
      <c r="J1883" s="27" t="s">
        <v>50</v>
      </c>
      <c r="K1883" s="27" t="s">
        <v>51</v>
      </c>
      <c r="L1883" s="31" t="s">
        <v>2962</v>
      </c>
      <c r="M1883" s="32">
        <v>0.45</v>
      </c>
      <c r="N1883" s="27" t="s">
        <v>33</v>
      </c>
      <c r="O1883" s="27" t="s">
        <v>53</v>
      </c>
      <c r="P1883" s="27" t="s">
        <v>54</v>
      </c>
      <c r="Q1883" s="27" t="s">
        <v>2141</v>
      </c>
      <c r="R1883" s="33">
        <v>46041</v>
      </c>
      <c r="S1883" s="34">
        <v>42179</v>
      </c>
      <c r="T1883" s="34">
        <v>42181</v>
      </c>
      <c r="U1883" s="29">
        <v>6.9720000000000004</v>
      </c>
      <c r="V1883" s="26">
        <v>15</v>
      </c>
      <c r="W1883" s="29">
        <v>43.13</v>
      </c>
      <c r="X1883" s="26">
        <v>91053</v>
      </c>
      <c r="Y1883" s="35">
        <v>18.919999999999998</v>
      </c>
      <c r="Z1883" s="1" t="s">
        <v>3012</v>
      </c>
      <c r="AA1883" s="36">
        <v>1.2509999999999999</v>
      </c>
      <c r="AB1883" s="54">
        <v>23.721500000000002</v>
      </c>
      <c r="AC1883" s="54">
        <v>1.2939000000000001</v>
      </c>
      <c r="AD1883" s="36">
        <v>33.567</v>
      </c>
    </row>
    <row r="1884" spans="1:30" s="37" customFormat="1" ht="15.75" customHeight="1" x14ac:dyDescent="0.2">
      <c r="A1884" s="26">
        <v>1442</v>
      </c>
      <c r="B1884" s="27" t="s">
        <v>877</v>
      </c>
      <c r="C1884" s="27" t="s">
        <v>3094</v>
      </c>
      <c r="D1884" s="28">
        <v>0.04</v>
      </c>
      <c r="E1884" s="29">
        <v>177.98</v>
      </c>
      <c r="F1884" s="29">
        <v>0.99</v>
      </c>
      <c r="G1884" s="30" t="s">
        <v>39</v>
      </c>
      <c r="H1884" s="27" t="s">
        <v>94</v>
      </c>
      <c r="I1884" s="27" t="s">
        <v>49</v>
      </c>
      <c r="J1884" s="27" t="s">
        <v>95</v>
      </c>
      <c r="K1884" s="27" t="s">
        <v>73</v>
      </c>
      <c r="L1884" s="31" t="s">
        <v>2853</v>
      </c>
      <c r="M1884" s="32">
        <v>0.56000000000000005</v>
      </c>
      <c r="N1884" s="27" t="s">
        <v>33</v>
      </c>
      <c r="O1884" s="27" t="s">
        <v>53</v>
      </c>
      <c r="P1884" s="27" t="s">
        <v>80</v>
      </c>
      <c r="Q1884" s="27" t="s">
        <v>878</v>
      </c>
      <c r="R1884" s="33">
        <v>65807</v>
      </c>
      <c r="S1884" s="34">
        <v>42180</v>
      </c>
      <c r="T1884" s="34">
        <v>42182</v>
      </c>
      <c r="U1884" s="29">
        <v>1909.8855000000001</v>
      </c>
      <c r="V1884" s="26">
        <v>15</v>
      </c>
      <c r="W1884" s="29">
        <v>2767.95</v>
      </c>
      <c r="X1884" s="26">
        <v>89076</v>
      </c>
      <c r="Y1884" s="35">
        <v>46.85</v>
      </c>
      <c r="Z1884" s="1" t="s">
        <v>3012</v>
      </c>
      <c r="AA1884" s="36">
        <v>106.78799999999998</v>
      </c>
      <c r="AB1884" s="54">
        <v>1217.8979999999997</v>
      </c>
      <c r="AC1884" s="54">
        <v>103.33680000000001</v>
      </c>
      <c r="AD1884" s="36">
        <v>750.28649999999971</v>
      </c>
    </row>
    <row r="1885" spans="1:30" s="37" customFormat="1" ht="15.75" customHeight="1" x14ac:dyDescent="0.2">
      <c r="A1885" s="26">
        <v>1419</v>
      </c>
      <c r="B1885" s="27" t="s">
        <v>2968</v>
      </c>
      <c r="C1885" s="27" t="s">
        <v>3094</v>
      </c>
      <c r="D1885" s="28">
        <v>0.01</v>
      </c>
      <c r="E1885" s="29">
        <v>124.49</v>
      </c>
      <c r="F1885" s="29">
        <v>51.94</v>
      </c>
      <c r="G1885" s="30" t="s">
        <v>27</v>
      </c>
      <c r="H1885" s="27" t="s">
        <v>3095</v>
      </c>
      <c r="I1885" s="27" t="s">
        <v>29</v>
      </c>
      <c r="J1885" s="27" t="s">
        <v>30</v>
      </c>
      <c r="K1885" s="27" t="s">
        <v>31</v>
      </c>
      <c r="L1885" s="31" t="s">
        <v>1149</v>
      </c>
      <c r="M1885" s="32">
        <v>0.63</v>
      </c>
      <c r="N1885" s="27" t="s">
        <v>33</v>
      </c>
      <c r="O1885" s="27" t="s">
        <v>53</v>
      </c>
      <c r="P1885" s="27" t="s">
        <v>54</v>
      </c>
      <c r="Q1885" s="27" t="s">
        <v>2029</v>
      </c>
      <c r="R1885" s="33">
        <v>47905</v>
      </c>
      <c r="S1885" s="34">
        <v>42180</v>
      </c>
      <c r="T1885" s="34">
        <v>42181</v>
      </c>
      <c r="U1885" s="29">
        <v>-94.674644999999998</v>
      </c>
      <c r="V1885" s="26">
        <v>18</v>
      </c>
      <c r="W1885" s="29">
        <v>2376.12</v>
      </c>
      <c r="X1885" s="26">
        <v>90540</v>
      </c>
      <c r="Y1885" s="35">
        <v>17.63</v>
      </c>
      <c r="Z1885" s="1" t="s">
        <v>3012</v>
      </c>
      <c r="AA1885" s="36">
        <v>22.408199999999997</v>
      </c>
      <c r="AB1885" s="54">
        <v>879.1644</v>
      </c>
      <c r="AC1885" s="54">
        <v>83.164199999999994</v>
      </c>
      <c r="AD1885" s="36">
        <v>2396.446445</v>
      </c>
    </row>
    <row r="1886" spans="1:30" s="37" customFormat="1" ht="15.75" customHeight="1" x14ac:dyDescent="0.2">
      <c r="A1886" s="26">
        <v>447</v>
      </c>
      <c r="B1886" s="27" t="s">
        <v>2967</v>
      </c>
      <c r="C1886" s="27" t="s">
        <v>3094</v>
      </c>
      <c r="D1886" s="28">
        <v>0.05</v>
      </c>
      <c r="E1886" s="29">
        <v>200.99</v>
      </c>
      <c r="F1886" s="29">
        <v>4.2</v>
      </c>
      <c r="G1886" s="30" t="s">
        <v>39</v>
      </c>
      <c r="H1886" s="27" t="s">
        <v>94</v>
      </c>
      <c r="I1886" s="27" t="s">
        <v>41</v>
      </c>
      <c r="J1886" s="27" t="s">
        <v>135</v>
      </c>
      <c r="K1886" s="27" t="s">
        <v>73</v>
      </c>
      <c r="L1886" s="31" t="s">
        <v>794</v>
      </c>
      <c r="M1886" s="32">
        <v>0.59</v>
      </c>
      <c r="N1886" s="27" t="s">
        <v>33</v>
      </c>
      <c r="O1886" s="27" t="s">
        <v>53</v>
      </c>
      <c r="P1886" s="27" t="s">
        <v>84</v>
      </c>
      <c r="Q1886" s="27" t="s">
        <v>1649</v>
      </c>
      <c r="R1886" s="33">
        <v>55113</v>
      </c>
      <c r="S1886" s="34">
        <v>42180</v>
      </c>
      <c r="T1886" s="34">
        <v>42180</v>
      </c>
      <c r="U1886" s="29">
        <v>1268.8064999999999</v>
      </c>
      <c r="V1886" s="26">
        <v>11</v>
      </c>
      <c r="W1886" s="29">
        <v>1838.85</v>
      </c>
      <c r="X1886" s="26">
        <v>90449</v>
      </c>
      <c r="Y1886" s="35">
        <v>3.61</v>
      </c>
      <c r="Z1886" s="1" t="s">
        <v>3012</v>
      </c>
      <c r="AA1886" s="36">
        <v>110.54450000000003</v>
      </c>
      <c r="AB1886" s="54">
        <v>753.92849999999999</v>
      </c>
      <c r="AC1886" s="54">
        <v>98.629227272727263</v>
      </c>
      <c r="AD1886" s="36">
        <v>455.29899999999998</v>
      </c>
    </row>
    <row r="1887" spans="1:30" s="37" customFormat="1" ht="15.75" customHeight="1" x14ac:dyDescent="0.2">
      <c r="A1887" s="26">
        <v>3176</v>
      </c>
      <c r="B1887" s="27" t="s">
        <v>2409</v>
      </c>
      <c r="C1887" s="27" t="s">
        <v>48</v>
      </c>
      <c r="D1887" s="28">
        <v>0.02</v>
      </c>
      <c r="E1887" s="29">
        <v>58.14</v>
      </c>
      <c r="F1887" s="29">
        <v>36.61</v>
      </c>
      <c r="G1887" s="30" t="s">
        <v>27</v>
      </c>
      <c r="H1887" s="27" t="s">
        <v>40</v>
      </c>
      <c r="I1887" s="27" t="s">
        <v>29</v>
      </c>
      <c r="J1887" s="27" t="s">
        <v>117</v>
      </c>
      <c r="K1887" s="27" t="s">
        <v>31</v>
      </c>
      <c r="L1887" s="31" t="s">
        <v>2575</v>
      </c>
      <c r="M1887" s="32">
        <v>0.61</v>
      </c>
      <c r="N1887" s="27" t="s">
        <v>33</v>
      </c>
      <c r="O1887" s="27" t="s">
        <v>34</v>
      </c>
      <c r="P1887" s="27" t="s">
        <v>123</v>
      </c>
      <c r="Q1887" s="27" t="s">
        <v>2411</v>
      </c>
      <c r="R1887" s="33">
        <v>32216</v>
      </c>
      <c r="S1887" s="34">
        <v>42180</v>
      </c>
      <c r="T1887" s="34">
        <v>42186</v>
      </c>
      <c r="U1887" s="29">
        <v>0.25800000000000001</v>
      </c>
      <c r="V1887" s="26">
        <v>22</v>
      </c>
      <c r="W1887" s="29">
        <v>1358.02</v>
      </c>
      <c r="X1887" s="26">
        <v>90821</v>
      </c>
      <c r="Y1887" s="35">
        <v>58.12</v>
      </c>
      <c r="Z1887" s="1" t="s">
        <v>3011</v>
      </c>
      <c r="AA1887" s="36">
        <v>25.581600000000002</v>
      </c>
      <c r="AB1887" s="54">
        <v>529.62779999999998</v>
      </c>
      <c r="AC1887" s="54">
        <v>37.654190909090907</v>
      </c>
      <c r="AD1887" s="36">
        <v>1295.5704000000001</v>
      </c>
    </row>
    <row r="1888" spans="1:30" s="37" customFormat="1" ht="15.75" customHeight="1" x14ac:dyDescent="0.2">
      <c r="A1888" s="26">
        <v>3261</v>
      </c>
      <c r="B1888" s="27" t="s">
        <v>2972</v>
      </c>
      <c r="C1888" s="27" t="s">
        <v>3094</v>
      </c>
      <c r="D1888" s="28">
        <v>7.0000000000000007E-2</v>
      </c>
      <c r="E1888" s="29">
        <v>105.34</v>
      </c>
      <c r="F1888" s="29">
        <v>24.49</v>
      </c>
      <c r="G1888" s="30" t="s">
        <v>87</v>
      </c>
      <c r="H1888" s="27" t="s">
        <v>40</v>
      </c>
      <c r="I1888" s="27" t="s">
        <v>29</v>
      </c>
      <c r="J1888" s="27" t="s">
        <v>126</v>
      </c>
      <c r="K1888" s="27" t="s">
        <v>65</v>
      </c>
      <c r="L1888" s="31" t="s">
        <v>681</v>
      </c>
      <c r="M1888" s="32">
        <v>0.61</v>
      </c>
      <c r="N1888" s="27" t="s">
        <v>33</v>
      </c>
      <c r="O1888" s="27" t="s">
        <v>53</v>
      </c>
      <c r="P1888" s="27" t="s">
        <v>289</v>
      </c>
      <c r="Q1888" s="27" t="s">
        <v>2973</v>
      </c>
      <c r="R1888" s="33">
        <v>49221</v>
      </c>
      <c r="S1888" s="34">
        <v>42180</v>
      </c>
      <c r="T1888" s="34">
        <v>42181</v>
      </c>
      <c r="U1888" s="29">
        <v>710.67240000000004</v>
      </c>
      <c r="V1888" s="26">
        <v>10</v>
      </c>
      <c r="W1888" s="29">
        <v>1029.96</v>
      </c>
      <c r="X1888" s="26">
        <v>90296</v>
      </c>
      <c r="Y1888" s="35">
        <v>15.540000000000001</v>
      </c>
      <c r="Z1888" s="1" t="s">
        <v>3012</v>
      </c>
      <c r="AA1888" s="36">
        <v>73.738000000000014</v>
      </c>
      <c r="AB1888" s="54">
        <v>401.68440000000004</v>
      </c>
      <c r="AC1888" s="54">
        <v>62.827560000000005</v>
      </c>
      <c r="AD1888" s="36">
        <v>221.05959999999993</v>
      </c>
    </row>
    <row r="1889" spans="1:30" s="37" customFormat="1" ht="15.75" customHeight="1" x14ac:dyDescent="0.2">
      <c r="A1889" s="26">
        <v>2903</v>
      </c>
      <c r="B1889" s="27" t="s">
        <v>2969</v>
      </c>
      <c r="C1889" s="27" t="s">
        <v>3094</v>
      </c>
      <c r="D1889" s="28">
        <v>0.06</v>
      </c>
      <c r="E1889" s="29">
        <v>70.89</v>
      </c>
      <c r="F1889" s="29">
        <v>89.3</v>
      </c>
      <c r="G1889" s="30" t="s">
        <v>27</v>
      </c>
      <c r="H1889" s="27" t="s">
        <v>3095</v>
      </c>
      <c r="I1889" s="27" t="s">
        <v>29</v>
      </c>
      <c r="J1889" s="27" t="s">
        <v>30</v>
      </c>
      <c r="K1889" s="27" t="s">
        <v>31</v>
      </c>
      <c r="L1889" s="31" t="s">
        <v>2970</v>
      </c>
      <c r="M1889" s="32">
        <v>0.72</v>
      </c>
      <c r="N1889" s="27" t="s">
        <v>33</v>
      </c>
      <c r="O1889" s="27" t="s">
        <v>111</v>
      </c>
      <c r="P1889" s="27" t="s">
        <v>317</v>
      </c>
      <c r="Q1889" s="27" t="s">
        <v>2971</v>
      </c>
      <c r="R1889" s="33">
        <v>43068</v>
      </c>
      <c r="S1889" s="34">
        <v>42180</v>
      </c>
      <c r="T1889" s="34">
        <v>42180</v>
      </c>
      <c r="U1889" s="29">
        <v>65.077020000000005</v>
      </c>
      <c r="V1889" s="26">
        <v>6</v>
      </c>
      <c r="W1889" s="29">
        <v>364.26</v>
      </c>
      <c r="X1889" s="26">
        <v>87374</v>
      </c>
      <c r="Y1889" s="35">
        <v>130.94</v>
      </c>
      <c r="Z1889" s="1" t="s">
        <v>3014</v>
      </c>
      <c r="AA1889" s="36">
        <v>25.520400000000002</v>
      </c>
      <c r="AB1889" s="54">
        <v>101.9928</v>
      </c>
      <c r="AC1889" s="54">
        <v>43.711199999999998</v>
      </c>
      <c r="AD1889" s="36">
        <v>184.36257999999998</v>
      </c>
    </row>
    <row r="1890" spans="1:30" s="37" customFormat="1" ht="15.75" customHeight="1" x14ac:dyDescent="0.2">
      <c r="A1890" s="26">
        <v>3176</v>
      </c>
      <c r="B1890" s="27" t="s">
        <v>2409</v>
      </c>
      <c r="C1890" s="27" t="s">
        <v>48</v>
      </c>
      <c r="D1890" s="28">
        <v>0.03</v>
      </c>
      <c r="E1890" s="29">
        <v>15.57</v>
      </c>
      <c r="F1890" s="29">
        <v>1.39</v>
      </c>
      <c r="G1890" s="30" t="s">
        <v>39</v>
      </c>
      <c r="H1890" s="27" t="s">
        <v>40</v>
      </c>
      <c r="I1890" s="27" t="s">
        <v>49</v>
      </c>
      <c r="J1890" s="27" t="s">
        <v>345</v>
      </c>
      <c r="K1890" s="27" t="s">
        <v>73</v>
      </c>
      <c r="L1890" s="31" t="s">
        <v>2340</v>
      </c>
      <c r="M1890" s="32">
        <v>0.38</v>
      </c>
      <c r="N1890" s="27" t="s">
        <v>33</v>
      </c>
      <c r="O1890" s="27" t="s">
        <v>34</v>
      </c>
      <c r="P1890" s="27" t="s">
        <v>123</v>
      </c>
      <c r="Q1890" s="27" t="s">
        <v>2411</v>
      </c>
      <c r="R1890" s="33">
        <v>32216</v>
      </c>
      <c r="S1890" s="34">
        <v>42180</v>
      </c>
      <c r="T1890" s="34">
        <v>42186</v>
      </c>
      <c r="U1890" s="29">
        <v>63.222000000000001</v>
      </c>
      <c r="V1890" s="26">
        <v>22</v>
      </c>
      <c r="W1890" s="29">
        <v>358.84</v>
      </c>
      <c r="X1890" s="26">
        <v>90821</v>
      </c>
      <c r="Y1890" s="35">
        <v>200.94</v>
      </c>
      <c r="Z1890" s="1" t="s">
        <v>3011</v>
      </c>
      <c r="AA1890" s="36">
        <v>10.276200000000001</v>
      </c>
      <c r="AB1890" s="54">
        <v>222.48079999999999</v>
      </c>
      <c r="AC1890" s="54">
        <v>6.198145454545454</v>
      </c>
      <c r="AD1890" s="36">
        <v>283.95179999999999</v>
      </c>
    </row>
    <row r="1891" spans="1:30" s="37" customFormat="1" ht="15.75" customHeight="1" x14ac:dyDescent="0.2">
      <c r="A1891" s="26">
        <v>1551</v>
      </c>
      <c r="B1891" s="27" t="s">
        <v>2963</v>
      </c>
      <c r="C1891" s="27" t="s">
        <v>48</v>
      </c>
      <c r="D1891" s="28">
        <v>7.0000000000000007E-2</v>
      </c>
      <c r="E1891" s="29">
        <v>17.7</v>
      </c>
      <c r="F1891" s="29">
        <v>9.4700000000000006</v>
      </c>
      <c r="G1891" s="30" t="s">
        <v>39</v>
      </c>
      <c r="H1891" s="27" t="s">
        <v>40</v>
      </c>
      <c r="I1891" s="27" t="s">
        <v>49</v>
      </c>
      <c r="J1891" s="27" t="s">
        <v>78</v>
      </c>
      <c r="K1891" s="27" t="s">
        <v>73</v>
      </c>
      <c r="L1891" s="31" t="s">
        <v>1051</v>
      </c>
      <c r="M1891" s="32">
        <v>0.59</v>
      </c>
      <c r="N1891" s="27" t="s">
        <v>33</v>
      </c>
      <c r="O1891" s="27" t="s">
        <v>34</v>
      </c>
      <c r="P1891" s="27" t="s">
        <v>35</v>
      </c>
      <c r="Q1891" s="27" t="s">
        <v>2964</v>
      </c>
      <c r="R1891" s="33">
        <v>39530</v>
      </c>
      <c r="S1891" s="34">
        <v>42180</v>
      </c>
      <c r="T1891" s="34">
        <v>42186</v>
      </c>
      <c r="U1891" s="29">
        <v>-243.54400000000001</v>
      </c>
      <c r="V1891" s="26">
        <v>18</v>
      </c>
      <c r="W1891" s="29">
        <v>300.67</v>
      </c>
      <c r="X1891" s="26">
        <v>87488</v>
      </c>
      <c r="Y1891" s="35">
        <v>124.47999999999999</v>
      </c>
      <c r="Z1891" s="1" t="s">
        <v>3011</v>
      </c>
      <c r="AA1891" s="36">
        <v>22.302000000000003</v>
      </c>
      <c r="AB1891" s="54">
        <v>123.27470000000001</v>
      </c>
      <c r="AC1891" s="54">
        <v>9.8552944444444446</v>
      </c>
      <c r="AD1891" s="36">
        <v>512.44200000000001</v>
      </c>
    </row>
    <row r="1892" spans="1:30" s="37" customFormat="1" ht="15.75" customHeight="1" x14ac:dyDescent="0.2">
      <c r="A1892" s="26">
        <v>1416</v>
      </c>
      <c r="B1892" s="27" t="s">
        <v>2430</v>
      </c>
      <c r="C1892" s="27" t="s">
        <v>38</v>
      </c>
      <c r="D1892" s="28">
        <v>0.04</v>
      </c>
      <c r="E1892" s="29">
        <v>46.89</v>
      </c>
      <c r="F1892" s="29">
        <v>5.0999999999999996</v>
      </c>
      <c r="G1892" s="30" t="s">
        <v>39</v>
      </c>
      <c r="H1892" s="27" t="s">
        <v>3095</v>
      </c>
      <c r="I1892" s="27" t="s">
        <v>49</v>
      </c>
      <c r="J1892" s="27" t="s">
        <v>95</v>
      </c>
      <c r="K1892" s="27" t="s">
        <v>144</v>
      </c>
      <c r="L1892" s="31" t="s">
        <v>1843</v>
      </c>
      <c r="M1892" s="32">
        <v>0.46</v>
      </c>
      <c r="N1892" s="27" t="s">
        <v>33</v>
      </c>
      <c r="O1892" s="27" t="s">
        <v>53</v>
      </c>
      <c r="P1892" s="27" t="s">
        <v>54</v>
      </c>
      <c r="Q1892" s="27" t="s">
        <v>1512</v>
      </c>
      <c r="R1892" s="33">
        <v>46203</v>
      </c>
      <c r="S1892" s="34">
        <v>42180</v>
      </c>
      <c r="T1892" s="34">
        <v>42182</v>
      </c>
      <c r="U1892" s="29">
        <v>87.12</v>
      </c>
      <c r="V1892" s="26">
        <v>4</v>
      </c>
      <c r="W1892" s="29">
        <v>182.61</v>
      </c>
      <c r="X1892" s="26">
        <v>90540</v>
      </c>
      <c r="Y1892" s="35">
        <v>177.94</v>
      </c>
      <c r="Z1892" s="1" t="s">
        <v>3012</v>
      </c>
      <c r="AA1892" s="36">
        <v>7.5024000000000006</v>
      </c>
      <c r="AB1892" s="54">
        <v>98.609400000000008</v>
      </c>
      <c r="AC1892" s="54">
        <v>21.000150000000001</v>
      </c>
      <c r="AD1892" s="36">
        <v>82.88760000000002</v>
      </c>
    </row>
    <row r="1893" spans="1:30" s="37" customFormat="1" ht="15.75" customHeight="1" x14ac:dyDescent="0.2">
      <c r="A1893" s="26">
        <v>447</v>
      </c>
      <c r="B1893" s="27" t="s">
        <v>2967</v>
      </c>
      <c r="C1893" s="27" t="s">
        <v>3094</v>
      </c>
      <c r="D1893" s="28">
        <v>0.04</v>
      </c>
      <c r="E1893" s="29">
        <v>130.97999999999999</v>
      </c>
      <c r="F1893" s="29">
        <v>30</v>
      </c>
      <c r="G1893" s="30" t="s">
        <v>27</v>
      </c>
      <c r="H1893" s="27" t="s">
        <v>94</v>
      </c>
      <c r="I1893" s="27" t="s">
        <v>29</v>
      </c>
      <c r="J1893" s="27" t="s">
        <v>109</v>
      </c>
      <c r="K1893" s="27" t="s">
        <v>58</v>
      </c>
      <c r="L1893" s="31" t="s">
        <v>2199</v>
      </c>
      <c r="M1893" s="32">
        <v>0.78</v>
      </c>
      <c r="N1893" s="27" t="s">
        <v>33</v>
      </c>
      <c r="O1893" s="27" t="s">
        <v>53</v>
      </c>
      <c r="P1893" s="27" t="s">
        <v>84</v>
      </c>
      <c r="Q1893" s="27" t="s">
        <v>1649</v>
      </c>
      <c r="R1893" s="33">
        <v>55113</v>
      </c>
      <c r="S1893" s="34">
        <v>42180</v>
      </c>
      <c r="T1893" s="34">
        <v>42183</v>
      </c>
      <c r="U1893" s="29">
        <v>-82.903999999999996</v>
      </c>
      <c r="V1893" s="26">
        <v>1</v>
      </c>
      <c r="W1893" s="29">
        <v>159.51</v>
      </c>
      <c r="X1893" s="26">
        <v>90449</v>
      </c>
      <c r="Y1893" s="35">
        <v>70.83</v>
      </c>
      <c r="Z1893" s="1" t="s">
        <v>3012</v>
      </c>
      <c r="AA1893" s="36">
        <v>5.2391999999999994</v>
      </c>
      <c r="AB1893" s="54">
        <v>35.092199999999991</v>
      </c>
      <c r="AC1893" s="54">
        <v>124.4178</v>
      </c>
      <c r="AD1893" s="36">
        <v>207.1748</v>
      </c>
    </row>
    <row r="1894" spans="1:30" s="37" customFormat="1" ht="15.75" customHeight="1" x14ac:dyDescent="0.2">
      <c r="A1894" s="26">
        <v>3128</v>
      </c>
      <c r="B1894" s="27" t="s">
        <v>2965</v>
      </c>
      <c r="C1894" s="27" t="s">
        <v>48</v>
      </c>
      <c r="D1894" s="28">
        <v>0.08</v>
      </c>
      <c r="E1894" s="29">
        <v>3.69</v>
      </c>
      <c r="F1894" s="29">
        <v>2.5</v>
      </c>
      <c r="G1894" s="30" t="s">
        <v>39</v>
      </c>
      <c r="H1894" s="27" t="s">
        <v>3095</v>
      </c>
      <c r="I1894" s="27" t="s">
        <v>49</v>
      </c>
      <c r="J1894" s="27" t="s">
        <v>345</v>
      </c>
      <c r="K1894" s="27" t="s">
        <v>73</v>
      </c>
      <c r="L1894" s="31" t="s">
        <v>2230</v>
      </c>
      <c r="M1894" s="32">
        <v>0.39</v>
      </c>
      <c r="N1894" s="27" t="s">
        <v>33</v>
      </c>
      <c r="O1894" s="27" t="s">
        <v>34</v>
      </c>
      <c r="P1894" s="27" t="s">
        <v>168</v>
      </c>
      <c r="Q1894" s="27" t="s">
        <v>2966</v>
      </c>
      <c r="R1894" s="33">
        <v>71109</v>
      </c>
      <c r="S1894" s="34">
        <v>42180</v>
      </c>
      <c r="T1894" s="34">
        <v>42185</v>
      </c>
      <c r="U1894" s="29">
        <v>-139.07599999999999</v>
      </c>
      <c r="V1894" s="26">
        <v>9</v>
      </c>
      <c r="W1894" s="29">
        <v>31.98</v>
      </c>
      <c r="X1894" s="26">
        <v>89810</v>
      </c>
      <c r="Y1894" s="35">
        <v>105.27000000000001</v>
      </c>
      <c r="Z1894" s="1" t="s">
        <v>3011</v>
      </c>
      <c r="AA1894" s="36">
        <v>2.6568000000000001</v>
      </c>
      <c r="AB1894" s="54">
        <v>19.5078</v>
      </c>
      <c r="AC1894" s="54">
        <v>1.3857999999999999</v>
      </c>
      <c r="AD1894" s="36">
        <v>165.89919999999998</v>
      </c>
    </row>
    <row r="1895" spans="1:30" s="37" customFormat="1" ht="15.75" customHeight="1" x14ac:dyDescent="0.2">
      <c r="A1895" s="26">
        <v>2062</v>
      </c>
      <c r="B1895" s="27" t="s">
        <v>866</v>
      </c>
      <c r="C1895" s="27" t="s">
        <v>48</v>
      </c>
      <c r="D1895" s="28">
        <v>0.04</v>
      </c>
      <c r="E1895" s="29">
        <v>291.73</v>
      </c>
      <c r="F1895" s="29">
        <v>48.8</v>
      </c>
      <c r="G1895" s="30" t="s">
        <v>27</v>
      </c>
      <c r="H1895" s="27" t="s">
        <v>94</v>
      </c>
      <c r="I1895" s="27" t="s">
        <v>29</v>
      </c>
      <c r="J1895" s="27" t="s">
        <v>109</v>
      </c>
      <c r="K1895" s="27" t="s">
        <v>58</v>
      </c>
      <c r="L1895" s="31" t="s">
        <v>110</v>
      </c>
      <c r="M1895" s="32">
        <v>0.56000000000000005</v>
      </c>
      <c r="N1895" s="27" t="s">
        <v>33</v>
      </c>
      <c r="O1895" s="27" t="s">
        <v>34</v>
      </c>
      <c r="P1895" s="27" t="s">
        <v>242</v>
      </c>
      <c r="Q1895" s="27" t="s">
        <v>868</v>
      </c>
      <c r="R1895" s="33">
        <v>23111</v>
      </c>
      <c r="S1895" s="34">
        <v>42181</v>
      </c>
      <c r="T1895" s="34">
        <v>42185</v>
      </c>
      <c r="U1895" s="29">
        <v>-115.90389999999999</v>
      </c>
      <c r="V1895" s="26">
        <v>22</v>
      </c>
      <c r="W1895" s="29">
        <v>6676.61</v>
      </c>
      <c r="X1895" s="26">
        <v>87148</v>
      </c>
      <c r="Y1895" s="35">
        <v>100.89</v>
      </c>
      <c r="Z1895" s="1" t="s">
        <v>3011</v>
      </c>
      <c r="AA1895" s="36">
        <v>256.72240000000005</v>
      </c>
      <c r="AB1895" s="54">
        <v>2937.7083999999995</v>
      </c>
      <c r="AC1895" s="54">
        <v>169.95007272727273</v>
      </c>
      <c r="AD1895" s="36">
        <v>6486.9915000000001</v>
      </c>
    </row>
    <row r="1896" spans="1:30" s="37" customFormat="1" ht="15.75" customHeight="1" x14ac:dyDescent="0.2">
      <c r="A1896" s="26">
        <v>2197</v>
      </c>
      <c r="B1896" s="27" t="s">
        <v>2974</v>
      </c>
      <c r="C1896" s="27" t="s">
        <v>26</v>
      </c>
      <c r="D1896" s="28">
        <v>0.08</v>
      </c>
      <c r="E1896" s="29">
        <v>100.97</v>
      </c>
      <c r="F1896" s="29">
        <v>7.18</v>
      </c>
      <c r="G1896" s="30" t="s">
        <v>39</v>
      </c>
      <c r="H1896" s="27" t="s">
        <v>3095</v>
      </c>
      <c r="I1896" s="27" t="s">
        <v>41</v>
      </c>
      <c r="J1896" s="27" t="s">
        <v>42</v>
      </c>
      <c r="K1896" s="27" t="s">
        <v>73</v>
      </c>
      <c r="L1896" s="31" t="s">
        <v>2801</v>
      </c>
      <c r="M1896" s="32">
        <v>0.46</v>
      </c>
      <c r="N1896" s="27" t="s">
        <v>33</v>
      </c>
      <c r="O1896" s="27" t="s">
        <v>111</v>
      </c>
      <c r="P1896" s="27" t="s">
        <v>112</v>
      </c>
      <c r="Q1896" s="27" t="s">
        <v>1856</v>
      </c>
      <c r="R1896" s="33">
        <v>11756</v>
      </c>
      <c r="S1896" s="34">
        <v>42181</v>
      </c>
      <c r="T1896" s="34">
        <v>42182</v>
      </c>
      <c r="U1896" s="29">
        <v>126.22499999999999</v>
      </c>
      <c r="V1896" s="26">
        <v>7</v>
      </c>
      <c r="W1896" s="29">
        <v>650.25</v>
      </c>
      <c r="X1896" s="26">
        <v>89176</v>
      </c>
      <c r="Y1896" s="35">
        <v>13.4</v>
      </c>
      <c r="Z1896" s="1" t="s">
        <v>3014</v>
      </c>
      <c r="AA1896" s="36">
        <v>56.543199999999999</v>
      </c>
      <c r="AB1896" s="54">
        <v>351.13500000000005</v>
      </c>
      <c r="AC1896" s="54">
        <v>42.730714285714285</v>
      </c>
      <c r="AD1896" s="36">
        <v>460.30180000000001</v>
      </c>
    </row>
    <row r="1897" spans="1:30" s="37" customFormat="1" ht="15.75" customHeight="1" x14ac:dyDescent="0.2">
      <c r="A1897" s="26">
        <v>2587</v>
      </c>
      <c r="B1897" s="27" t="s">
        <v>1427</v>
      </c>
      <c r="C1897" s="27" t="s">
        <v>3094</v>
      </c>
      <c r="D1897" s="28">
        <v>0.02</v>
      </c>
      <c r="E1897" s="29">
        <v>22.72</v>
      </c>
      <c r="F1897" s="29">
        <v>8.99</v>
      </c>
      <c r="G1897" s="30" t="s">
        <v>39</v>
      </c>
      <c r="H1897" s="27" t="s">
        <v>71</v>
      </c>
      <c r="I1897" s="27" t="s">
        <v>29</v>
      </c>
      <c r="J1897" s="27" t="s">
        <v>126</v>
      </c>
      <c r="K1897" s="27" t="s">
        <v>43</v>
      </c>
      <c r="L1897" s="31" t="s">
        <v>328</v>
      </c>
      <c r="M1897" s="32">
        <v>0.44</v>
      </c>
      <c r="N1897" s="27" t="s">
        <v>33</v>
      </c>
      <c r="O1897" s="27" t="s">
        <v>53</v>
      </c>
      <c r="P1897" s="27" t="s">
        <v>357</v>
      </c>
      <c r="Q1897" s="27" t="s">
        <v>1429</v>
      </c>
      <c r="R1897" s="33">
        <v>54220</v>
      </c>
      <c r="S1897" s="34">
        <v>42181</v>
      </c>
      <c r="T1897" s="34">
        <v>42181</v>
      </c>
      <c r="U1897" s="29">
        <v>200.0172</v>
      </c>
      <c r="V1897" s="26">
        <v>12</v>
      </c>
      <c r="W1897" s="29">
        <v>289.88</v>
      </c>
      <c r="X1897" s="26">
        <v>91167</v>
      </c>
      <c r="Y1897" s="35">
        <v>291.69</v>
      </c>
      <c r="Z1897" s="1" t="s">
        <v>3012</v>
      </c>
      <c r="AA1897" s="36">
        <v>5.4527999999999999</v>
      </c>
      <c r="AB1897" s="54">
        <v>162.33280000000002</v>
      </c>
      <c r="AC1897" s="54">
        <v>10.628933333333332</v>
      </c>
      <c r="AD1897" s="36">
        <v>75.419999999999987</v>
      </c>
    </row>
    <row r="1898" spans="1:30" s="37" customFormat="1" ht="15.75" customHeight="1" x14ac:dyDescent="0.2">
      <c r="A1898" s="26">
        <v>2197</v>
      </c>
      <c r="B1898" s="27" t="s">
        <v>2974</v>
      </c>
      <c r="C1898" s="27" t="s">
        <v>26</v>
      </c>
      <c r="D1898" s="28">
        <v>0</v>
      </c>
      <c r="E1898" s="29">
        <v>13.4</v>
      </c>
      <c r="F1898" s="29">
        <v>4.95</v>
      </c>
      <c r="G1898" s="30" t="s">
        <v>39</v>
      </c>
      <c r="H1898" s="27" t="s">
        <v>3095</v>
      </c>
      <c r="I1898" s="27" t="s">
        <v>29</v>
      </c>
      <c r="J1898" s="27" t="s">
        <v>126</v>
      </c>
      <c r="K1898" s="27" t="s">
        <v>43</v>
      </c>
      <c r="L1898" s="31" t="s">
        <v>1205</v>
      </c>
      <c r="M1898" s="32">
        <v>0.37</v>
      </c>
      <c r="N1898" s="27" t="s">
        <v>33</v>
      </c>
      <c r="O1898" s="27" t="s">
        <v>111</v>
      </c>
      <c r="P1898" s="27" t="s">
        <v>112</v>
      </c>
      <c r="Q1898" s="27" t="s">
        <v>1856</v>
      </c>
      <c r="R1898" s="33">
        <v>11756</v>
      </c>
      <c r="S1898" s="34">
        <v>42181</v>
      </c>
      <c r="T1898" s="34">
        <v>42182</v>
      </c>
      <c r="U1898" s="29">
        <v>187.7628</v>
      </c>
      <c r="V1898" s="26">
        <v>19</v>
      </c>
      <c r="W1898" s="29">
        <v>272.12</v>
      </c>
      <c r="X1898" s="26">
        <v>89176</v>
      </c>
      <c r="Y1898" s="35">
        <v>22.7</v>
      </c>
      <c r="Z1898" s="1" t="s">
        <v>3014</v>
      </c>
      <c r="AA1898" s="36">
        <v>0</v>
      </c>
      <c r="AB1898" s="54">
        <v>171.43559999999999</v>
      </c>
      <c r="AC1898" s="54">
        <v>5.2991789473684205</v>
      </c>
      <c r="AD1898" s="36">
        <v>79.407200000000017</v>
      </c>
    </row>
    <row r="1899" spans="1:30" s="37" customFormat="1" ht="15.75" customHeight="1" x14ac:dyDescent="0.2">
      <c r="A1899" s="26">
        <v>937</v>
      </c>
      <c r="B1899" s="27" t="s">
        <v>2976</v>
      </c>
      <c r="C1899" s="27" t="s">
        <v>3094</v>
      </c>
      <c r="D1899" s="28">
        <v>0.01</v>
      </c>
      <c r="E1899" s="29">
        <v>65.989999999999995</v>
      </c>
      <c r="F1899" s="29">
        <v>3.99</v>
      </c>
      <c r="G1899" s="30" t="s">
        <v>39</v>
      </c>
      <c r="H1899" s="27" t="s">
        <v>94</v>
      </c>
      <c r="I1899" s="27" t="s">
        <v>41</v>
      </c>
      <c r="J1899" s="27" t="s">
        <v>135</v>
      </c>
      <c r="K1899" s="27" t="s">
        <v>73</v>
      </c>
      <c r="L1899" s="31" t="s">
        <v>1634</v>
      </c>
      <c r="M1899" s="32">
        <v>0.59</v>
      </c>
      <c r="N1899" s="27" t="s">
        <v>33</v>
      </c>
      <c r="O1899" s="27" t="s">
        <v>60</v>
      </c>
      <c r="P1899" s="27" t="s">
        <v>90</v>
      </c>
      <c r="Q1899" s="27" t="s">
        <v>959</v>
      </c>
      <c r="R1899" s="33">
        <v>90278</v>
      </c>
      <c r="S1899" s="34">
        <v>42182</v>
      </c>
      <c r="T1899" s="34">
        <v>42183</v>
      </c>
      <c r="U1899" s="29">
        <v>-95.210499999999996</v>
      </c>
      <c r="V1899" s="26">
        <v>3</v>
      </c>
      <c r="W1899" s="29">
        <v>166.59</v>
      </c>
      <c r="X1899" s="26">
        <v>90589</v>
      </c>
      <c r="Y1899" s="35">
        <v>2.8400000000000003</v>
      </c>
      <c r="Z1899" s="1" t="s">
        <v>3013</v>
      </c>
      <c r="AA1899" s="36">
        <v>1.9796999999999998</v>
      </c>
      <c r="AB1899" s="54">
        <v>68.301900000000003</v>
      </c>
      <c r="AC1899" s="54">
        <v>32.762700000000002</v>
      </c>
      <c r="AD1899" s="36">
        <v>255.83080000000001</v>
      </c>
    </row>
    <row r="1900" spans="1:30" s="37" customFormat="1" ht="15.75" customHeight="1" x14ac:dyDescent="0.2">
      <c r="A1900" s="26">
        <v>936</v>
      </c>
      <c r="B1900" s="27" t="s">
        <v>1227</v>
      </c>
      <c r="C1900" s="27" t="s">
        <v>3094</v>
      </c>
      <c r="D1900" s="28">
        <v>0.05</v>
      </c>
      <c r="E1900" s="29">
        <v>5.98</v>
      </c>
      <c r="F1900" s="29">
        <v>5.46</v>
      </c>
      <c r="G1900" s="30" t="s">
        <v>39</v>
      </c>
      <c r="H1900" s="27" t="s">
        <v>94</v>
      </c>
      <c r="I1900" s="27" t="s">
        <v>49</v>
      </c>
      <c r="J1900" s="27" t="s">
        <v>88</v>
      </c>
      <c r="K1900" s="27" t="s">
        <v>73</v>
      </c>
      <c r="L1900" s="31" t="s">
        <v>1156</v>
      </c>
      <c r="M1900" s="32">
        <v>0.36</v>
      </c>
      <c r="N1900" s="27" t="s">
        <v>33</v>
      </c>
      <c r="O1900" s="27" t="s">
        <v>60</v>
      </c>
      <c r="P1900" s="27" t="s">
        <v>90</v>
      </c>
      <c r="Q1900" s="27" t="s">
        <v>1229</v>
      </c>
      <c r="R1900" s="33">
        <v>92374</v>
      </c>
      <c r="S1900" s="34">
        <v>42182</v>
      </c>
      <c r="T1900" s="34">
        <v>42182</v>
      </c>
      <c r="U1900" s="29">
        <v>-31.885000000000002</v>
      </c>
      <c r="V1900" s="26">
        <v>17</v>
      </c>
      <c r="W1900" s="29">
        <v>104.95</v>
      </c>
      <c r="X1900" s="26">
        <v>90589</v>
      </c>
      <c r="Y1900" s="35">
        <v>5.9300000000000006</v>
      </c>
      <c r="Z1900" s="1" t="s">
        <v>3013</v>
      </c>
      <c r="AA1900" s="36">
        <v>5.0830000000000011</v>
      </c>
      <c r="AB1900" s="54">
        <v>67.168000000000006</v>
      </c>
      <c r="AC1900" s="54">
        <v>2.2224705882352942</v>
      </c>
      <c r="AD1900" s="36">
        <v>126.292</v>
      </c>
    </row>
    <row r="1901" spans="1:30" s="37" customFormat="1" ht="15.75" customHeight="1" x14ac:dyDescent="0.2">
      <c r="A1901" s="26">
        <v>2617</v>
      </c>
      <c r="B1901" s="27" t="s">
        <v>2977</v>
      </c>
      <c r="C1901" s="27" t="s">
        <v>3094</v>
      </c>
      <c r="D1901" s="28">
        <v>0.1</v>
      </c>
      <c r="E1901" s="29">
        <v>3.25</v>
      </c>
      <c r="F1901" s="29">
        <v>49</v>
      </c>
      <c r="G1901" s="30" t="s">
        <v>39</v>
      </c>
      <c r="H1901" s="27" t="s">
        <v>94</v>
      </c>
      <c r="I1901" s="27" t="s">
        <v>49</v>
      </c>
      <c r="J1901" s="27" t="s">
        <v>95</v>
      </c>
      <c r="K1901" s="27" t="s">
        <v>65</v>
      </c>
      <c r="L1901" s="31" t="s">
        <v>2719</v>
      </c>
      <c r="M1901" s="32">
        <v>0.56000000000000005</v>
      </c>
      <c r="N1901" s="27" t="s">
        <v>33</v>
      </c>
      <c r="O1901" s="27" t="s">
        <v>53</v>
      </c>
      <c r="P1901" s="27" t="s">
        <v>1071</v>
      </c>
      <c r="Q1901" s="27" t="s">
        <v>2978</v>
      </c>
      <c r="R1901" s="33">
        <v>57401</v>
      </c>
      <c r="S1901" s="34">
        <v>42182</v>
      </c>
      <c r="T1901" s="34">
        <v>42183</v>
      </c>
      <c r="U1901" s="29">
        <v>-286.245</v>
      </c>
      <c r="V1901" s="26">
        <v>6</v>
      </c>
      <c r="W1901" s="29">
        <v>40.69</v>
      </c>
      <c r="X1901" s="26">
        <v>91496</v>
      </c>
      <c r="Y1901" s="35">
        <v>65.97999999999999</v>
      </c>
      <c r="Z1901" s="1" t="s">
        <v>3012</v>
      </c>
      <c r="AA1901" s="36">
        <v>1.9500000000000002</v>
      </c>
      <c r="AB1901" s="54">
        <v>17.903599999999997</v>
      </c>
      <c r="AC1901" s="54">
        <v>3.7977333333333334</v>
      </c>
      <c r="AD1901" s="36">
        <v>275.98500000000001</v>
      </c>
    </row>
    <row r="1902" spans="1:30" s="37" customFormat="1" ht="15.75" customHeight="1" x14ac:dyDescent="0.2">
      <c r="A1902" s="26">
        <v>1380</v>
      </c>
      <c r="B1902" s="27" t="s">
        <v>2975</v>
      </c>
      <c r="C1902" s="27" t="s">
        <v>48</v>
      </c>
      <c r="D1902" s="28">
        <v>0.05</v>
      </c>
      <c r="E1902" s="29">
        <v>2.89</v>
      </c>
      <c r="F1902" s="29">
        <v>0.5</v>
      </c>
      <c r="G1902" s="30" t="s">
        <v>39</v>
      </c>
      <c r="H1902" s="27" t="s">
        <v>71</v>
      </c>
      <c r="I1902" s="27" t="s">
        <v>49</v>
      </c>
      <c r="J1902" s="27" t="s">
        <v>152</v>
      </c>
      <c r="K1902" s="27" t="s">
        <v>73</v>
      </c>
      <c r="L1902" s="31" t="s">
        <v>729</v>
      </c>
      <c r="M1902" s="32">
        <v>0.38</v>
      </c>
      <c r="N1902" s="27" t="s">
        <v>33</v>
      </c>
      <c r="O1902" s="27" t="s">
        <v>111</v>
      </c>
      <c r="P1902" s="27" t="s">
        <v>1356</v>
      </c>
      <c r="Q1902" s="27" t="s">
        <v>1877</v>
      </c>
      <c r="R1902" s="33">
        <v>3801</v>
      </c>
      <c r="S1902" s="34">
        <v>42182</v>
      </c>
      <c r="T1902" s="34">
        <v>42188</v>
      </c>
      <c r="U1902" s="29">
        <v>18.0642</v>
      </c>
      <c r="V1902" s="26">
        <v>9</v>
      </c>
      <c r="W1902" s="29">
        <v>26.18</v>
      </c>
      <c r="X1902" s="26">
        <v>88213</v>
      </c>
      <c r="Y1902" s="35">
        <v>3.15</v>
      </c>
      <c r="Z1902" s="1" t="s">
        <v>3014</v>
      </c>
      <c r="AA1902" s="36">
        <v>1.3005000000000002</v>
      </c>
      <c r="AB1902" s="54">
        <v>16.2316</v>
      </c>
      <c r="AC1902" s="54">
        <v>1.1053777777777778</v>
      </c>
      <c r="AD1902" s="36">
        <v>6.3153000000000006</v>
      </c>
    </row>
    <row r="1903" spans="1:30" s="37" customFormat="1" ht="15.75" customHeight="1" x14ac:dyDescent="0.2">
      <c r="A1903" s="26">
        <v>1193</v>
      </c>
      <c r="B1903" s="27" t="s">
        <v>1351</v>
      </c>
      <c r="C1903" s="27" t="s">
        <v>48</v>
      </c>
      <c r="D1903" s="28">
        <v>0.09</v>
      </c>
      <c r="E1903" s="29">
        <v>49.99</v>
      </c>
      <c r="F1903" s="29">
        <v>19.989999999999998</v>
      </c>
      <c r="G1903" s="30" t="s">
        <v>39</v>
      </c>
      <c r="H1903" s="27" t="s">
        <v>3095</v>
      </c>
      <c r="I1903" s="27" t="s">
        <v>41</v>
      </c>
      <c r="J1903" s="27" t="s">
        <v>42</v>
      </c>
      <c r="K1903" s="27" t="s">
        <v>73</v>
      </c>
      <c r="L1903" s="31" t="s">
        <v>1288</v>
      </c>
      <c r="M1903" s="32">
        <v>0.41</v>
      </c>
      <c r="N1903" s="27" t="s">
        <v>33</v>
      </c>
      <c r="O1903" s="27" t="s">
        <v>111</v>
      </c>
      <c r="P1903" s="27" t="s">
        <v>374</v>
      </c>
      <c r="Q1903" s="27" t="s">
        <v>67</v>
      </c>
      <c r="R1903" s="33">
        <v>20016</v>
      </c>
      <c r="S1903" s="34">
        <v>42183</v>
      </c>
      <c r="T1903" s="34">
        <v>42185</v>
      </c>
      <c r="U1903" s="29">
        <v>-17.03</v>
      </c>
      <c r="V1903" s="26">
        <v>48</v>
      </c>
      <c r="W1903" s="29">
        <v>2373.3200000000002</v>
      </c>
      <c r="X1903" s="26">
        <v>11206</v>
      </c>
      <c r="Y1903" s="35">
        <v>100.89</v>
      </c>
      <c r="Z1903" s="1" t="s">
        <v>3014</v>
      </c>
      <c r="AA1903" s="36">
        <v>215.95680000000002</v>
      </c>
      <c r="AB1903" s="54">
        <v>1400.2588000000003</v>
      </c>
      <c r="AC1903" s="54">
        <v>20.272108333333332</v>
      </c>
      <c r="AD1903" s="36">
        <v>2154.4032000000002</v>
      </c>
    </row>
    <row r="1904" spans="1:30" s="37" customFormat="1" ht="15.75" customHeight="1" x14ac:dyDescent="0.2">
      <c r="A1904" s="26">
        <v>1357</v>
      </c>
      <c r="B1904" s="27" t="s">
        <v>2750</v>
      </c>
      <c r="C1904" s="27" t="s">
        <v>38</v>
      </c>
      <c r="D1904" s="28">
        <v>7.0000000000000007E-2</v>
      </c>
      <c r="E1904" s="29">
        <v>119.99</v>
      </c>
      <c r="F1904" s="29">
        <v>16.8</v>
      </c>
      <c r="G1904" s="30" t="s">
        <v>27</v>
      </c>
      <c r="H1904" s="27" t="s">
        <v>71</v>
      </c>
      <c r="I1904" s="27" t="s">
        <v>41</v>
      </c>
      <c r="J1904" s="27" t="s">
        <v>57</v>
      </c>
      <c r="K1904" s="27" t="s">
        <v>31</v>
      </c>
      <c r="L1904" s="31" t="s">
        <v>2984</v>
      </c>
      <c r="M1904" s="32">
        <v>0.35</v>
      </c>
      <c r="N1904" s="27" t="s">
        <v>33</v>
      </c>
      <c r="O1904" s="27" t="s">
        <v>53</v>
      </c>
      <c r="P1904" s="27" t="s">
        <v>187</v>
      </c>
      <c r="Q1904" s="27" t="s">
        <v>2751</v>
      </c>
      <c r="R1904" s="33">
        <v>78596</v>
      </c>
      <c r="S1904" s="34">
        <v>42183</v>
      </c>
      <c r="T1904" s="34">
        <v>42185</v>
      </c>
      <c r="U1904" s="29">
        <v>1206.5961</v>
      </c>
      <c r="V1904" s="26">
        <v>15</v>
      </c>
      <c r="W1904" s="29">
        <v>1748.69</v>
      </c>
      <c r="X1904" s="26">
        <v>88185</v>
      </c>
      <c r="Y1904" s="35">
        <v>5.6800000000000006</v>
      </c>
      <c r="Z1904" s="1" t="s">
        <v>3012</v>
      </c>
      <c r="AA1904" s="36">
        <v>125.98950000000001</v>
      </c>
      <c r="AB1904" s="54">
        <v>1136.6485</v>
      </c>
      <c r="AC1904" s="54">
        <v>40.802766666666663</v>
      </c>
      <c r="AD1904" s="36">
        <v>399.30440000000021</v>
      </c>
    </row>
    <row r="1905" spans="1:30" s="37" customFormat="1" ht="15.75" customHeight="1" x14ac:dyDescent="0.2">
      <c r="A1905" s="26">
        <v>2987</v>
      </c>
      <c r="B1905" s="27" t="s">
        <v>2979</v>
      </c>
      <c r="C1905" s="27" t="s">
        <v>26</v>
      </c>
      <c r="D1905" s="28">
        <v>0.09</v>
      </c>
      <c r="E1905" s="29">
        <v>100.98</v>
      </c>
      <c r="F1905" s="29">
        <v>35.840000000000003</v>
      </c>
      <c r="G1905" s="30" t="s">
        <v>27</v>
      </c>
      <c r="H1905" s="27" t="s">
        <v>71</v>
      </c>
      <c r="I1905" s="27" t="s">
        <v>29</v>
      </c>
      <c r="J1905" s="27" t="s">
        <v>117</v>
      </c>
      <c r="K1905" s="27" t="s">
        <v>31</v>
      </c>
      <c r="L1905" s="31" t="s">
        <v>118</v>
      </c>
      <c r="M1905" s="32">
        <v>0.62</v>
      </c>
      <c r="N1905" s="27" t="s">
        <v>33</v>
      </c>
      <c r="O1905" s="27" t="s">
        <v>53</v>
      </c>
      <c r="P1905" s="27" t="s">
        <v>213</v>
      </c>
      <c r="Q1905" s="27" t="s">
        <v>2980</v>
      </c>
      <c r="R1905" s="33">
        <v>50265</v>
      </c>
      <c r="S1905" s="34">
        <v>42183</v>
      </c>
      <c r="T1905" s="34">
        <v>42183</v>
      </c>
      <c r="U1905" s="29">
        <v>-103.624</v>
      </c>
      <c r="V1905" s="26">
        <v>17</v>
      </c>
      <c r="W1905" s="29">
        <v>1700.38</v>
      </c>
      <c r="X1905" s="26">
        <v>91180</v>
      </c>
      <c r="Y1905" s="35">
        <v>4.95</v>
      </c>
      <c r="Z1905" s="1" t="s">
        <v>3012</v>
      </c>
      <c r="AA1905" s="36">
        <v>154.49940000000001</v>
      </c>
      <c r="AB1905" s="54">
        <v>646.14440000000002</v>
      </c>
      <c r="AC1905" s="54">
        <v>62.013858823529418</v>
      </c>
      <c r="AD1905" s="36">
        <v>1613.6646000000001</v>
      </c>
    </row>
    <row r="1906" spans="1:30" s="37" customFormat="1" ht="15.75" customHeight="1" x14ac:dyDescent="0.2">
      <c r="A1906" s="26">
        <v>1203</v>
      </c>
      <c r="B1906" s="27" t="s">
        <v>2990</v>
      </c>
      <c r="C1906" s="27" t="s">
        <v>48</v>
      </c>
      <c r="D1906" s="28">
        <v>0.09</v>
      </c>
      <c r="E1906" s="29">
        <v>49.99</v>
      </c>
      <c r="F1906" s="29">
        <v>19.989999999999998</v>
      </c>
      <c r="G1906" s="30" t="s">
        <v>39</v>
      </c>
      <c r="H1906" s="27" t="s">
        <v>3095</v>
      </c>
      <c r="I1906" s="27" t="s">
        <v>41</v>
      </c>
      <c r="J1906" s="27" t="s">
        <v>42</v>
      </c>
      <c r="K1906" s="27" t="s">
        <v>73</v>
      </c>
      <c r="L1906" s="31" t="s">
        <v>1288</v>
      </c>
      <c r="M1906" s="32">
        <v>0.41</v>
      </c>
      <c r="N1906" s="27" t="s">
        <v>33</v>
      </c>
      <c r="O1906" s="27" t="s">
        <v>111</v>
      </c>
      <c r="P1906" s="27" t="s">
        <v>584</v>
      </c>
      <c r="Q1906" s="27" t="s">
        <v>585</v>
      </c>
      <c r="R1906" s="33">
        <v>2920</v>
      </c>
      <c r="S1906" s="34">
        <v>42183</v>
      </c>
      <c r="T1906" s="34">
        <v>42185</v>
      </c>
      <c r="U1906" s="29">
        <v>-8.5150000000000006</v>
      </c>
      <c r="V1906" s="26">
        <v>12</v>
      </c>
      <c r="W1906" s="29">
        <v>593.33000000000004</v>
      </c>
      <c r="X1906" s="26">
        <v>87587</v>
      </c>
      <c r="Y1906" s="35">
        <v>119.92</v>
      </c>
      <c r="Z1906" s="1" t="s">
        <v>3014</v>
      </c>
      <c r="AA1906" s="36">
        <v>53.989200000000004</v>
      </c>
      <c r="AB1906" s="54">
        <v>350.06470000000007</v>
      </c>
      <c r="AC1906" s="54">
        <v>20.272108333333332</v>
      </c>
      <c r="AD1906" s="36">
        <v>527.86580000000004</v>
      </c>
    </row>
    <row r="1907" spans="1:30" s="37" customFormat="1" ht="15.75" customHeight="1" x14ac:dyDescent="0.2">
      <c r="A1907" s="26">
        <v>1733</v>
      </c>
      <c r="B1907" s="27" t="s">
        <v>2001</v>
      </c>
      <c r="C1907" s="27" t="s">
        <v>38</v>
      </c>
      <c r="D1907" s="28">
        <v>0.02</v>
      </c>
      <c r="E1907" s="29">
        <v>30.98</v>
      </c>
      <c r="F1907" s="29">
        <v>17.079999999999998</v>
      </c>
      <c r="G1907" s="30" t="s">
        <v>39</v>
      </c>
      <c r="H1907" s="27" t="s">
        <v>3095</v>
      </c>
      <c r="I1907" s="27" t="s">
        <v>49</v>
      </c>
      <c r="J1907" s="27" t="s">
        <v>88</v>
      </c>
      <c r="K1907" s="27" t="s">
        <v>73</v>
      </c>
      <c r="L1907" s="31" t="s">
        <v>2985</v>
      </c>
      <c r="M1907" s="32">
        <v>0.4</v>
      </c>
      <c r="N1907" s="27" t="s">
        <v>33</v>
      </c>
      <c r="O1907" s="27" t="s">
        <v>111</v>
      </c>
      <c r="P1907" s="27" t="s">
        <v>374</v>
      </c>
      <c r="Q1907" s="27" t="s">
        <v>67</v>
      </c>
      <c r="R1907" s="33">
        <v>20012</v>
      </c>
      <c r="S1907" s="34">
        <v>42183</v>
      </c>
      <c r="T1907" s="34">
        <v>42184</v>
      </c>
      <c r="U1907" s="29">
        <v>-32.28</v>
      </c>
      <c r="V1907" s="26">
        <v>13</v>
      </c>
      <c r="W1907" s="29">
        <v>438.25</v>
      </c>
      <c r="X1907" s="26">
        <v>59937</v>
      </c>
      <c r="Y1907" s="35">
        <v>30.96</v>
      </c>
      <c r="Z1907" s="1" t="s">
        <v>3014</v>
      </c>
      <c r="AA1907" s="36">
        <v>8.0548000000000002</v>
      </c>
      <c r="AB1907" s="54">
        <v>262.95</v>
      </c>
      <c r="AC1907" s="54">
        <v>13.484615384615385</v>
      </c>
      <c r="AD1907" s="36">
        <v>445.39519999999999</v>
      </c>
    </row>
    <row r="1908" spans="1:30" s="37" customFormat="1" ht="15.75" customHeight="1" x14ac:dyDescent="0.2">
      <c r="A1908" s="26">
        <v>1193</v>
      </c>
      <c r="B1908" s="27" t="s">
        <v>1351</v>
      </c>
      <c r="C1908" s="27" t="s">
        <v>48</v>
      </c>
      <c r="D1908" s="28">
        <v>0.03</v>
      </c>
      <c r="E1908" s="29">
        <v>28.53</v>
      </c>
      <c r="F1908" s="29">
        <v>1.49</v>
      </c>
      <c r="G1908" s="30" t="s">
        <v>39</v>
      </c>
      <c r="H1908" s="27" t="s">
        <v>3095</v>
      </c>
      <c r="I1908" s="27" t="s">
        <v>49</v>
      </c>
      <c r="J1908" s="27" t="s">
        <v>72</v>
      </c>
      <c r="K1908" s="27" t="s">
        <v>73</v>
      </c>
      <c r="L1908" s="31" t="s">
        <v>1832</v>
      </c>
      <c r="M1908" s="32">
        <v>0.38</v>
      </c>
      <c r="N1908" s="27" t="s">
        <v>33</v>
      </c>
      <c r="O1908" s="27" t="s">
        <v>111</v>
      </c>
      <c r="P1908" s="27" t="s">
        <v>374</v>
      </c>
      <c r="Q1908" s="27" t="s">
        <v>67</v>
      </c>
      <c r="R1908" s="33">
        <v>20016</v>
      </c>
      <c r="S1908" s="34">
        <v>42183</v>
      </c>
      <c r="T1908" s="34">
        <v>42186</v>
      </c>
      <c r="U1908" s="29">
        <v>39.627000000000002</v>
      </c>
      <c r="V1908" s="26">
        <v>11</v>
      </c>
      <c r="W1908" s="29">
        <v>325.73</v>
      </c>
      <c r="X1908" s="26">
        <v>11206</v>
      </c>
      <c r="Y1908" s="35">
        <v>30.96</v>
      </c>
      <c r="Z1908" s="1" t="s">
        <v>3014</v>
      </c>
      <c r="AA1908" s="36">
        <v>9.4148999999999994</v>
      </c>
      <c r="AB1908" s="54">
        <v>201.95260000000002</v>
      </c>
      <c r="AC1908" s="54">
        <v>11.252490909090909</v>
      </c>
      <c r="AD1908" s="36">
        <v>275.19810000000001</v>
      </c>
    </row>
    <row r="1909" spans="1:30" s="37" customFormat="1" ht="15.75" customHeight="1" x14ac:dyDescent="0.2">
      <c r="A1909" s="26">
        <v>2801</v>
      </c>
      <c r="B1909" s="27" t="s">
        <v>2991</v>
      </c>
      <c r="C1909" s="27" t="s">
        <v>48</v>
      </c>
      <c r="D1909" s="28">
        <v>0</v>
      </c>
      <c r="E1909" s="29">
        <v>17.52</v>
      </c>
      <c r="F1909" s="29">
        <v>8.17</v>
      </c>
      <c r="G1909" s="30" t="s">
        <v>39</v>
      </c>
      <c r="H1909" s="27" t="s">
        <v>71</v>
      </c>
      <c r="I1909" s="27" t="s">
        <v>49</v>
      </c>
      <c r="J1909" s="27" t="s">
        <v>95</v>
      </c>
      <c r="K1909" s="27" t="s">
        <v>144</v>
      </c>
      <c r="L1909" s="31" t="s">
        <v>2992</v>
      </c>
      <c r="M1909" s="32">
        <v>0.5</v>
      </c>
      <c r="N1909" s="27" t="s">
        <v>33</v>
      </c>
      <c r="O1909" s="27" t="s">
        <v>60</v>
      </c>
      <c r="P1909" s="27" t="s">
        <v>588</v>
      </c>
      <c r="Q1909" s="27" t="s">
        <v>1718</v>
      </c>
      <c r="R1909" s="33">
        <v>85224</v>
      </c>
      <c r="S1909" s="34">
        <v>42183</v>
      </c>
      <c r="T1909" s="34">
        <v>42188</v>
      </c>
      <c r="U1909" s="29">
        <v>52.764000000000003</v>
      </c>
      <c r="V1909" s="26">
        <v>15</v>
      </c>
      <c r="W1909" s="29">
        <v>284.33999999999997</v>
      </c>
      <c r="X1909" s="26">
        <v>91049</v>
      </c>
      <c r="Y1909" s="35">
        <v>28.5</v>
      </c>
      <c r="Z1909" s="1" t="s">
        <v>3013</v>
      </c>
      <c r="AA1909" s="36">
        <v>0</v>
      </c>
      <c r="AB1909" s="54">
        <v>142.16999999999999</v>
      </c>
      <c r="AC1909" s="54">
        <v>9.4779999999999998</v>
      </c>
      <c r="AD1909" s="36">
        <v>223.40599999999998</v>
      </c>
    </row>
    <row r="1910" spans="1:30" s="37" customFormat="1" ht="15.75" customHeight="1" x14ac:dyDescent="0.2">
      <c r="A1910" s="26">
        <v>3226</v>
      </c>
      <c r="B1910" s="27" t="s">
        <v>501</v>
      </c>
      <c r="C1910" s="27" t="s">
        <v>116</v>
      </c>
      <c r="D1910" s="28">
        <v>0.06</v>
      </c>
      <c r="E1910" s="29">
        <v>22.24</v>
      </c>
      <c r="F1910" s="29">
        <v>1.99</v>
      </c>
      <c r="G1910" s="30" t="s">
        <v>39</v>
      </c>
      <c r="H1910" s="27" t="s">
        <v>3095</v>
      </c>
      <c r="I1910" s="27" t="s">
        <v>41</v>
      </c>
      <c r="J1910" s="27" t="s">
        <v>42</v>
      </c>
      <c r="K1910" s="27" t="s">
        <v>43</v>
      </c>
      <c r="L1910" s="31" t="s">
        <v>2993</v>
      </c>
      <c r="M1910" s="32">
        <v>0.43</v>
      </c>
      <c r="N1910" s="27" t="s">
        <v>33</v>
      </c>
      <c r="O1910" s="27" t="s">
        <v>34</v>
      </c>
      <c r="P1910" s="27" t="s">
        <v>400</v>
      </c>
      <c r="Q1910" s="27" t="s">
        <v>503</v>
      </c>
      <c r="R1910" s="33">
        <v>37075</v>
      </c>
      <c r="S1910" s="34">
        <v>42183</v>
      </c>
      <c r="T1910" s="34">
        <v>42185</v>
      </c>
      <c r="U1910" s="29">
        <v>95.388000000000005</v>
      </c>
      <c r="V1910" s="26">
        <v>12</v>
      </c>
      <c r="W1910" s="29">
        <v>255.88</v>
      </c>
      <c r="X1910" s="26">
        <v>86509</v>
      </c>
      <c r="Y1910" s="35">
        <v>49.9</v>
      </c>
      <c r="Z1910" s="1" t="s">
        <v>3011</v>
      </c>
      <c r="AA1910" s="36">
        <v>16.012799999999999</v>
      </c>
      <c r="AB1910" s="54">
        <v>145.85160000000002</v>
      </c>
      <c r="AC1910" s="54">
        <v>9.1690333333333331</v>
      </c>
      <c r="AD1910" s="36">
        <v>142.48919999999998</v>
      </c>
    </row>
    <row r="1911" spans="1:30" s="37" customFormat="1" ht="15.75" customHeight="1" x14ac:dyDescent="0.2">
      <c r="A1911" s="26">
        <v>1735</v>
      </c>
      <c r="B1911" s="27" t="s">
        <v>2986</v>
      </c>
      <c r="C1911" s="27" t="s">
        <v>38</v>
      </c>
      <c r="D1911" s="28">
        <v>0.02</v>
      </c>
      <c r="E1911" s="29">
        <v>30.98</v>
      </c>
      <c r="F1911" s="29">
        <v>17.079999999999998</v>
      </c>
      <c r="G1911" s="30" t="s">
        <v>39</v>
      </c>
      <c r="H1911" s="27" t="s">
        <v>3095</v>
      </c>
      <c r="I1911" s="27" t="s">
        <v>49</v>
      </c>
      <c r="J1911" s="27" t="s">
        <v>88</v>
      </c>
      <c r="K1911" s="27" t="s">
        <v>73</v>
      </c>
      <c r="L1911" s="31" t="s">
        <v>2985</v>
      </c>
      <c r="M1911" s="32">
        <v>0.4</v>
      </c>
      <c r="N1911" s="27" t="s">
        <v>33</v>
      </c>
      <c r="O1911" s="27" t="s">
        <v>111</v>
      </c>
      <c r="P1911" s="27" t="s">
        <v>112</v>
      </c>
      <c r="Q1911" s="27" t="s">
        <v>2987</v>
      </c>
      <c r="R1911" s="33">
        <v>11550</v>
      </c>
      <c r="S1911" s="34">
        <v>42183</v>
      </c>
      <c r="T1911" s="34">
        <v>42184</v>
      </c>
      <c r="U1911" s="29">
        <v>-16.14</v>
      </c>
      <c r="V1911" s="26">
        <v>3</v>
      </c>
      <c r="W1911" s="29">
        <v>101.13</v>
      </c>
      <c r="X1911" s="26">
        <v>88444</v>
      </c>
      <c r="Y1911" s="35">
        <v>28.5</v>
      </c>
      <c r="Z1911" s="1" t="s">
        <v>3014</v>
      </c>
      <c r="AA1911" s="36">
        <v>1.8588</v>
      </c>
      <c r="AB1911" s="54">
        <v>60.677999999999997</v>
      </c>
      <c r="AC1911" s="54">
        <v>13.484000000000002</v>
      </c>
      <c r="AD1911" s="36">
        <v>98.331199999999995</v>
      </c>
    </row>
    <row r="1912" spans="1:30" s="37" customFormat="1" ht="15.75" customHeight="1" x14ac:dyDescent="0.2">
      <c r="A1912" s="26">
        <v>1191</v>
      </c>
      <c r="B1912" s="27" t="s">
        <v>2988</v>
      </c>
      <c r="C1912" s="27" t="s">
        <v>48</v>
      </c>
      <c r="D1912" s="28">
        <v>0.03</v>
      </c>
      <c r="E1912" s="29">
        <v>28.53</v>
      </c>
      <c r="F1912" s="29">
        <v>1.49</v>
      </c>
      <c r="G1912" s="30" t="s">
        <v>39</v>
      </c>
      <c r="H1912" s="27" t="s">
        <v>3095</v>
      </c>
      <c r="I1912" s="27" t="s">
        <v>49</v>
      </c>
      <c r="J1912" s="27" t="s">
        <v>72</v>
      </c>
      <c r="K1912" s="27" t="s">
        <v>73</v>
      </c>
      <c r="L1912" s="31" t="s">
        <v>1832</v>
      </c>
      <c r="M1912" s="32">
        <v>0.38</v>
      </c>
      <c r="N1912" s="27" t="s">
        <v>33</v>
      </c>
      <c r="O1912" s="27" t="s">
        <v>111</v>
      </c>
      <c r="P1912" s="27" t="s">
        <v>248</v>
      </c>
      <c r="Q1912" s="27" t="s">
        <v>2989</v>
      </c>
      <c r="R1912" s="33">
        <v>6050</v>
      </c>
      <c r="S1912" s="34">
        <v>42183</v>
      </c>
      <c r="T1912" s="34">
        <v>42186</v>
      </c>
      <c r="U1912" s="29">
        <v>59.4405</v>
      </c>
      <c r="V1912" s="26">
        <v>3</v>
      </c>
      <c r="W1912" s="29">
        <v>88.84</v>
      </c>
      <c r="X1912" s="26">
        <v>87587</v>
      </c>
      <c r="Y1912" s="35">
        <v>49.9</v>
      </c>
      <c r="Z1912" s="1" t="s">
        <v>3014</v>
      </c>
      <c r="AA1912" s="36">
        <v>2.5676999999999999</v>
      </c>
      <c r="AB1912" s="54">
        <v>55.080800000000004</v>
      </c>
      <c r="AC1912" s="54">
        <v>11.253066666666667</v>
      </c>
      <c r="AD1912" s="36">
        <v>25.341799999999999</v>
      </c>
    </row>
    <row r="1913" spans="1:30" s="37" customFormat="1" ht="15.75" customHeight="1" x14ac:dyDescent="0.2">
      <c r="A1913" s="26">
        <v>3209</v>
      </c>
      <c r="B1913" s="27" t="s">
        <v>2982</v>
      </c>
      <c r="C1913" s="27" t="s">
        <v>26</v>
      </c>
      <c r="D1913" s="28">
        <v>0.03</v>
      </c>
      <c r="E1913" s="29">
        <v>4.9800000000000004</v>
      </c>
      <c r="F1913" s="29">
        <v>4.62</v>
      </c>
      <c r="G1913" s="30" t="s">
        <v>87</v>
      </c>
      <c r="H1913" s="27" t="s">
        <v>94</v>
      </c>
      <c r="I1913" s="27" t="s">
        <v>41</v>
      </c>
      <c r="J1913" s="27" t="s">
        <v>42</v>
      </c>
      <c r="K1913" s="27" t="s">
        <v>43</v>
      </c>
      <c r="L1913" s="31" t="s">
        <v>1221</v>
      </c>
      <c r="M1913" s="32">
        <v>0.64</v>
      </c>
      <c r="N1913" s="27" t="s">
        <v>33</v>
      </c>
      <c r="O1913" s="27" t="s">
        <v>60</v>
      </c>
      <c r="P1913" s="27" t="s">
        <v>90</v>
      </c>
      <c r="Q1913" s="27" t="s">
        <v>2983</v>
      </c>
      <c r="R1913" s="33">
        <v>90210</v>
      </c>
      <c r="S1913" s="34">
        <v>42183</v>
      </c>
      <c r="T1913" s="34">
        <v>42184</v>
      </c>
      <c r="U1913" s="29">
        <v>-30.45</v>
      </c>
      <c r="V1913" s="26">
        <v>8</v>
      </c>
      <c r="W1913" s="29">
        <v>44.24</v>
      </c>
      <c r="X1913" s="26">
        <v>90739</v>
      </c>
      <c r="Y1913" s="35">
        <v>17.52</v>
      </c>
      <c r="Z1913" s="1" t="s">
        <v>3013</v>
      </c>
      <c r="AA1913" s="36">
        <v>1.1952</v>
      </c>
      <c r="AB1913" s="54">
        <v>15.926400000000001</v>
      </c>
      <c r="AC1913" s="54">
        <v>3.5392000000000001</v>
      </c>
      <c r="AD1913" s="36">
        <v>68.874799999999993</v>
      </c>
    </row>
    <row r="1914" spans="1:30" s="37" customFormat="1" ht="15.75" customHeight="1" x14ac:dyDescent="0.2">
      <c r="A1914" s="26">
        <v>2987</v>
      </c>
      <c r="B1914" s="27" t="s">
        <v>2979</v>
      </c>
      <c r="C1914" s="27" t="s">
        <v>26</v>
      </c>
      <c r="D1914" s="28">
        <v>0.1</v>
      </c>
      <c r="E1914" s="29">
        <v>5.78</v>
      </c>
      <c r="F1914" s="29">
        <v>7.96</v>
      </c>
      <c r="G1914" s="30" t="s">
        <v>39</v>
      </c>
      <c r="H1914" s="27" t="s">
        <v>71</v>
      </c>
      <c r="I1914" s="27" t="s">
        <v>49</v>
      </c>
      <c r="J1914" s="27" t="s">
        <v>88</v>
      </c>
      <c r="K1914" s="27" t="s">
        <v>73</v>
      </c>
      <c r="L1914" s="31" t="s">
        <v>2981</v>
      </c>
      <c r="M1914" s="32">
        <v>0.36</v>
      </c>
      <c r="N1914" s="27" t="s">
        <v>33</v>
      </c>
      <c r="O1914" s="27" t="s">
        <v>53</v>
      </c>
      <c r="P1914" s="27" t="s">
        <v>213</v>
      </c>
      <c r="Q1914" s="27" t="s">
        <v>2980</v>
      </c>
      <c r="R1914" s="33">
        <v>50265</v>
      </c>
      <c r="S1914" s="34">
        <v>42183</v>
      </c>
      <c r="T1914" s="34">
        <v>42183</v>
      </c>
      <c r="U1914" s="29">
        <v>-57.823999999999998</v>
      </c>
      <c r="V1914" s="26">
        <v>6</v>
      </c>
      <c r="W1914" s="29">
        <v>35.96</v>
      </c>
      <c r="X1914" s="26">
        <v>91180</v>
      </c>
      <c r="Y1914" s="35">
        <v>22.18</v>
      </c>
      <c r="Z1914" s="1" t="s">
        <v>3012</v>
      </c>
      <c r="AA1914" s="36">
        <v>3.4680000000000004</v>
      </c>
      <c r="AB1914" s="54">
        <v>23.014400000000002</v>
      </c>
      <c r="AC1914" s="54">
        <v>2.1576</v>
      </c>
      <c r="AD1914" s="36">
        <v>82.355999999999995</v>
      </c>
    </row>
    <row r="1915" spans="1:30" s="37" customFormat="1" ht="15.75" customHeight="1" x14ac:dyDescent="0.2">
      <c r="A1915" s="26">
        <v>1502</v>
      </c>
      <c r="B1915" s="27" t="s">
        <v>2437</v>
      </c>
      <c r="C1915" s="27" t="s">
        <v>48</v>
      </c>
      <c r="D1915" s="28">
        <v>0</v>
      </c>
      <c r="E1915" s="29">
        <v>205.99</v>
      </c>
      <c r="F1915" s="29">
        <v>8.99</v>
      </c>
      <c r="G1915" s="30" t="s">
        <v>39</v>
      </c>
      <c r="H1915" s="27" t="s">
        <v>3095</v>
      </c>
      <c r="I1915" s="27" t="s">
        <v>41</v>
      </c>
      <c r="J1915" s="27" t="s">
        <v>135</v>
      </c>
      <c r="K1915" s="27" t="s">
        <v>73</v>
      </c>
      <c r="L1915" s="31" t="s">
        <v>1032</v>
      </c>
      <c r="M1915" s="32">
        <v>0.6</v>
      </c>
      <c r="N1915" s="27" t="s">
        <v>33</v>
      </c>
      <c r="O1915" s="27" t="s">
        <v>34</v>
      </c>
      <c r="P1915" s="27" t="s">
        <v>123</v>
      </c>
      <c r="Q1915" s="27" t="s">
        <v>2438</v>
      </c>
      <c r="R1915" s="33">
        <v>33065</v>
      </c>
      <c r="S1915" s="34">
        <v>42184</v>
      </c>
      <c r="T1915" s="34">
        <v>42187</v>
      </c>
      <c r="U1915" s="29">
        <v>186.55799999999999</v>
      </c>
      <c r="V1915" s="26">
        <v>13</v>
      </c>
      <c r="W1915" s="29">
        <v>2435.52</v>
      </c>
      <c r="X1915" s="26">
        <v>89194</v>
      </c>
      <c r="Y1915" s="35">
        <v>6.3900000000000006</v>
      </c>
      <c r="Z1915" s="1" t="s">
        <v>3011</v>
      </c>
      <c r="AA1915" s="36">
        <v>0</v>
      </c>
      <c r="AB1915" s="54">
        <v>974.20800000000008</v>
      </c>
      <c r="AC1915" s="54">
        <v>112.40861538461539</v>
      </c>
      <c r="AD1915" s="36">
        <v>2239.9719999999998</v>
      </c>
    </row>
    <row r="1916" spans="1:30" s="37" customFormat="1" ht="15.75" customHeight="1" x14ac:dyDescent="0.2">
      <c r="A1916" s="26">
        <v>3374</v>
      </c>
      <c r="B1916" s="27" t="s">
        <v>2742</v>
      </c>
      <c r="C1916" s="27" t="s">
        <v>38</v>
      </c>
      <c r="D1916" s="28">
        <v>0.05</v>
      </c>
      <c r="E1916" s="29">
        <v>73.98</v>
      </c>
      <c r="F1916" s="29">
        <v>12.14</v>
      </c>
      <c r="G1916" s="30" t="s">
        <v>39</v>
      </c>
      <c r="H1916" s="27" t="s">
        <v>71</v>
      </c>
      <c r="I1916" s="27" t="s">
        <v>41</v>
      </c>
      <c r="J1916" s="27" t="s">
        <v>42</v>
      </c>
      <c r="K1916" s="27" t="s">
        <v>73</v>
      </c>
      <c r="L1916" s="31" t="s">
        <v>733</v>
      </c>
      <c r="M1916" s="32">
        <v>0.67</v>
      </c>
      <c r="N1916" s="27" t="s">
        <v>33</v>
      </c>
      <c r="O1916" s="27" t="s">
        <v>111</v>
      </c>
      <c r="P1916" s="27" t="s">
        <v>418</v>
      </c>
      <c r="Q1916" s="27" t="s">
        <v>2743</v>
      </c>
      <c r="R1916" s="33">
        <v>21113</v>
      </c>
      <c r="S1916" s="34">
        <v>42184</v>
      </c>
      <c r="T1916" s="34">
        <v>42185</v>
      </c>
      <c r="U1916" s="29">
        <v>-1.9039999999999999</v>
      </c>
      <c r="V1916" s="26">
        <v>8</v>
      </c>
      <c r="W1916" s="29">
        <v>600.4</v>
      </c>
      <c r="X1916" s="26">
        <v>87474</v>
      </c>
      <c r="Y1916" s="35">
        <v>73.930000000000007</v>
      </c>
      <c r="Z1916" s="1" t="s">
        <v>3014</v>
      </c>
      <c r="AA1916" s="36">
        <v>29.592000000000002</v>
      </c>
      <c r="AB1916" s="54">
        <v>198.13199999999998</v>
      </c>
      <c r="AC1916" s="54">
        <v>50.283500000000004</v>
      </c>
      <c r="AD1916" s="36">
        <v>560.572</v>
      </c>
    </row>
    <row r="1917" spans="1:30" s="37" customFormat="1" ht="15.75" customHeight="1" x14ac:dyDescent="0.2">
      <c r="A1917" s="26">
        <v>1183</v>
      </c>
      <c r="B1917" s="27" t="s">
        <v>2998</v>
      </c>
      <c r="C1917" s="27" t="s">
        <v>3094</v>
      </c>
      <c r="D1917" s="28">
        <v>0.04</v>
      </c>
      <c r="E1917" s="29">
        <v>35.99</v>
      </c>
      <c r="F1917" s="29">
        <v>3.3</v>
      </c>
      <c r="G1917" s="30" t="s">
        <v>39</v>
      </c>
      <c r="H1917" s="27" t="s">
        <v>71</v>
      </c>
      <c r="I1917" s="27" t="s">
        <v>41</v>
      </c>
      <c r="J1917" s="27" t="s">
        <v>135</v>
      </c>
      <c r="K1917" s="27" t="s">
        <v>43</v>
      </c>
      <c r="L1917" s="31" t="s">
        <v>1910</v>
      </c>
      <c r="M1917" s="32">
        <v>0.39</v>
      </c>
      <c r="N1917" s="27" t="s">
        <v>33</v>
      </c>
      <c r="O1917" s="27" t="s">
        <v>60</v>
      </c>
      <c r="P1917" s="27" t="s">
        <v>146</v>
      </c>
      <c r="Q1917" s="27" t="s">
        <v>2999</v>
      </c>
      <c r="R1917" s="33">
        <v>84663</v>
      </c>
      <c r="S1917" s="34">
        <v>42184</v>
      </c>
      <c r="T1917" s="34">
        <v>42184</v>
      </c>
      <c r="U1917" s="29">
        <v>184.19550000000001</v>
      </c>
      <c r="V1917" s="26">
        <v>9</v>
      </c>
      <c r="W1917" s="29">
        <v>266.95</v>
      </c>
      <c r="X1917" s="26">
        <v>86914</v>
      </c>
      <c r="Y1917" s="35">
        <v>5.98</v>
      </c>
      <c r="Z1917" s="1" t="s">
        <v>3013</v>
      </c>
      <c r="AA1917" s="36">
        <v>12.956400000000002</v>
      </c>
      <c r="AB1917" s="54">
        <v>162.83949999999999</v>
      </c>
      <c r="AC1917" s="54">
        <v>11.567833333333335</v>
      </c>
      <c r="AD1917" s="36">
        <v>66.498099999999965</v>
      </c>
    </row>
    <row r="1918" spans="1:30" s="37" customFormat="1" ht="15.75" customHeight="1" x14ac:dyDescent="0.2">
      <c r="A1918" s="26">
        <v>1109</v>
      </c>
      <c r="B1918" s="27" t="s">
        <v>2996</v>
      </c>
      <c r="C1918" s="27" t="s">
        <v>116</v>
      </c>
      <c r="D1918" s="28">
        <v>0.08</v>
      </c>
      <c r="E1918" s="29">
        <v>8.3699999999999992</v>
      </c>
      <c r="F1918" s="29">
        <v>10.16</v>
      </c>
      <c r="G1918" s="30" t="s">
        <v>39</v>
      </c>
      <c r="H1918" s="27" t="s">
        <v>40</v>
      </c>
      <c r="I1918" s="27" t="s">
        <v>29</v>
      </c>
      <c r="J1918" s="27" t="s">
        <v>126</v>
      </c>
      <c r="K1918" s="27" t="s">
        <v>65</v>
      </c>
      <c r="L1918" s="31" t="s">
        <v>1572</v>
      </c>
      <c r="M1918" s="32">
        <v>0.59</v>
      </c>
      <c r="N1918" s="27" t="s">
        <v>33</v>
      </c>
      <c r="O1918" s="27" t="s">
        <v>53</v>
      </c>
      <c r="P1918" s="27" t="s">
        <v>187</v>
      </c>
      <c r="Q1918" s="27" t="s">
        <v>2997</v>
      </c>
      <c r="R1918" s="33">
        <v>78041</v>
      </c>
      <c r="S1918" s="34">
        <v>42184</v>
      </c>
      <c r="T1918" s="34">
        <v>42184</v>
      </c>
      <c r="U1918" s="29">
        <v>-169.232</v>
      </c>
      <c r="V1918" s="26">
        <v>13</v>
      </c>
      <c r="W1918" s="29">
        <v>108.99</v>
      </c>
      <c r="X1918" s="26">
        <v>86410</v>
      </c>
      <c r="Y1918" s="35">
        <v>3.48</v>
      </c>
      <c r="Z1918" s="1" t="s">
        <v>3012</v>
      </c>
      <c r="AA1918" s="36">
        <v>8.7047999999999988</v>
      </c>
      <c r="AB1918" s="54">
        <v>44.685900000000004</v>
      </c>
      <c r="AC1918" s="54">
        <v>4.9464692307692308</v>
      </c>
      <c r="AD1918" s="36">
        <v>259.35719999999998</v>
      </c>
    </row>
    <row r="1919" spans="1:30" s="37" customFormat="1" ht="15.75" customHeight="1" x14ac:dyDescent="0.2">
      <c r="A1919" s="26">
        <v>2448</v>
      </c>
      <c r="B1919" s="27" t="s">
        <v>2994</v>
      </c>
      <c r="C1919" s="27" t="s">
        <v>38</v>
      </c>
      <c r="D1919" s="28">
        <v>0.09</v>
      </c>
      <c r="E1919" s="29">
        <v>6.48</v>
      </c>
      <c r="F1919" s="29">
        <v>7.03</v>
      </c>
      <c r="G1919" s="30" t="s">
        <v>39</v>
      </c>
      <c r="H1919" s="27" t="s">
        <v>40</v>
      </c>
      <c r="I1919" s="27" t="s">
        <v>49</v>
      </c>
      <c r="J1919" s="27" t="s">
        <v>88</v>
      </c>
      <c r="K1919" s="27" t="s">
        <v>73</v>
      </c>
      <c r="L1919" s="31" t="s">
        <v>2523</v>
      </c>
      <c r="M1919" s="32">
        <v>0.37</v>
      </c>
      <c r="N1919" s="27" t="s">
        <v>33</v>
      </c>
      <c r="O1919" s="27" t="s">
        <v>53</v>
      </c>
      <c r="P1919" s="27" t="s">
        <v>84</v>
      </c>
      <c r="Q1919" s="27" t="s">
        <v>159</v>
      </c>
      <c r="R1919" s="33">
        <v>55410</v>
      </c>
      <c r="S1919" s="34">
        <v>42184</v>
      </c>
      <c r="T1919" s="34">
        <v>42186</v>
      </c>
      <c r="U1919" s="29">
        <v>-126.208</v>
      </c>
      <c r="V1919" s="26">
        <v>16</v>
      </c>
      <c r="W1919" s="29">
        <v>96.96</v>
      </c>
      <c r="X1919" s="26">
        <v>87790</v>
      </c>
      <c r="Y1919" s="35">
        <v>5.76</v>
      </c>
      <c r="Z1919" s="1" t="s">
        <v>3012</v>
      </c>
      <c r="AA1919" s="36">
        <v>9.3312000000000008</v>
      </c>
      <c r="AB1919" s="54">
        <v>61.084799999999994</v>
      </c>
      <c r="AC1919" s="54">
        <v>2.2422</v>
      </c>
      <c r="AD1919" s="36">
        <v>206.80680000000001</v>
      </c>
    </row>
    <row r="1920" spans="1:30" s="37" customFormat="1" ht="15.75" customHeight="1" x14ac:dyDescent="0.2">
      <c r="A1920" s="26">
        <v>1502</v>
      </c>
      <c r="B1920" s="27" t="s">
        <v>2437</v>
      </c>
      <c r="C1920" s="27" t="s">
        <v>48</v>
      </c>
      <c r="D1920" s="28">
        <v>0.08</v>
      </c>
      <c r="E1920" s="29">
        <v>5.84</v>
      </c>
      <c r="F1920" s="29">
        <v>1</v>
      </c>
      <c r="G1920" s="30" t="s">
        <v>87</v>
      </c>
      <c r="H1920" s="27" t="s">
        <v>3095</v>
      </c>
      <c r="I1920" s="27" t="s">
        <v>49</v>
      </c>
      <c r="J1920" s="27" t="s">
        <v>50</v>
      </c>
      <c r="K1920" s="27" t="s">
        <v>51</v>
      </c>
      <c r="L1920" s="31" t="s">
        <v>2995</v>
      </c>
      <c r="M1920" s="32">
        <v>0.38</v>
      </c>
      <c r="N1920" s="27" t="s">
        <v>33</v>
      </c>
      <c r="O1920" s="27" t="s">
        <v>34</v>
      </c>
      <c r="P1920" s="27" t="s">
        <v>123</v>
      </c>
      <c r="Q1920" s="27" t="s">
        <v>2438</v>
      </c>
      <c r="R1920" s="33">
        <v>33065</v>
      </c>
      <c r="S1920" s="34">
        <v>42184</v>
      </c>
      <c r="T1920" s="34">
        <v>42188</v>
      </c>
      <c r="U1920" s="29">
        <v>731.92200000000003</v>
      </c>
      <c r="V1920" s="26">
        <v>11</v>
      </c>
      <c r="W1920" s="29">
        <v>61.39</v>
      </c>
      <c r="X1920" s="26">
        <v>89194</v>
      </c>
      <c r="Y1920" s="35">
        <v>205.99</v>
      </c>
      <c r="Z1920" s="1" t="s">
        <v>3011</v>
      </c>
      <c r="AA1920" s="36">
        <v>5.1391999999999998</v>
      </c>
      <c r="AB1920" s="54">
        <v>38.061799999999998</v>
      </c>
      <c r="AC1920" s="54">
        <v>2.1207454545454545</v>
      </c>
      <c r="AD1920" s="36">
        <v>-676.6712</v>
      </c>
    </row>
    <row r="1921" spans="1:30" s="37" customFormat="1" ht="15.75" customHeight="1" x14ac:dyDescent="0.2">
      <c r="A1921" s="26">
        <v>3374</v>
      </c>
      <c r="B1921" s="27" t="s">
        <v>2742</v>
      </c>
      <c r="C1921" s="27" t="s">
        <v>38</v>
      </c>
      <c r="D1921" s="28">
        <v>0</v>
      </c>
      <c r="E1921" s="29">
        <v>5.98</v>
      </c>
      <c r="F1921" s="29">
        <v>7.15</v>
      </c>
      <c r="G1921" s="30" t="s">
        <v>39</v>
      </c>
      <c r="H1921" s="27" t="s">
        <v>71</v>
      </c>
      <c r="I1921" s="27" t="s">
        <v>49</v>
      </c>
      <c r="J1921" s="27" t="s">
        <v>88</v>
      </c>
      <c r="K1921" s="27" t="s">
        <v>73</v>
      </c>
      <c r="L1921" s="31" t="s">
        <v>2538</v>
      </c>
      <c r="M1921" s="32">
        <v>0.36</v>
      </c>
      <c r="N1921" s="27" t="s">
        <v>33</v>
      </c>
      <c r="O1921" s="27" t="s">
        <v>111</v>
      </c>
      <c r="P1921" s="27" t="s">
        <v>418</v>
      </c>
      <c r="Q1921" s="27" t="s">
        <v>2743</v>
      </c>
      <c r="R1921" s="33">
        <v>21113</v>
      </c>
      <c r="S1921" s="34">
        <v>42184</v>
      </c>
      <c r="T1921" s="34">
        <v>42186</v>
      </c>
      <c r="U1921" s="29">
        <v>-37.048000000000002</v>
      </c>
      <c r="V1921" s="26">
        <v>5</v>
      </c>
      <c r="W1921" s="29">
        <v>34.25</v>
      </c>
      <c r="X1921" s="26">
        <v>87474</v>
      </c>
      <c r="Y1921" s="35">
        <v>8.2899999999999991</v>
      </c>
      <c r="Z1921" s="1" t="s">
        <v>3014</v>
      </c>
      <c r="AA1921" s="36">
        <v>0</v>
      </c>
      <c r="AB1921" s="54">
        <v>21.92</v>
      </c>
      <c r="AC1921" s="54">
        <v>2.4659999999999997</v>
      </c>
      <c r="AD1921" s="36">
        <v>64.147999999999996</v>
      </c>
    </row>
    <row r="1922" spans="1:30" s="37" customFormat="1" ht="15.75" customHeight="1" x14ac:dyDescent="0.2">
      <c r="A1922" s="26">
        <v>3374</v>
      </c>
      <c r="B1922" s="27" t="s">
        <v>2742</v>
      </c>
      <c r="C1922" s="27" t="s">
        <v>38</v>
      </c>
      <c r="D1922" s="28">
        <v>0.09</v>
      </c>
      <c r="E1922" s="29">
        <v>3.57</v>
      </c>
      <c r="F1922" s="29">
        <v>4.17</v>
      </c>
      <c r="G1922" s="30" t="s">
        <v>39</v>
      </c>
      <c r="H1922" s="27" t="s">
        <v>71</v>
      </c>
      <c r="I1922" s="27" t="s">
        <v>49</v>
      </c>
      <c r="J1922" s="27" t="s">
        <v>50</v>
      </c>
      <c r="K1922" s="27" t="s">
        <v>43</v>
      </c>
      <c r="L1922" s="31" t="s">
        <v>792</v>
      </c>
      <c r="M1922" s="32">
        <v>0.59</v>
      </c>
      <c r="N1922" s="27" t="s">
        <v>33</v>
      </c>
      <c r="O1922" s="27" t="s">
        <v>111</v>
      </c>
      <c r="P1922" s="27" t="s">
        <v>418</v>
      </c>
      <c r="Q1922" s="27" t="s">
        <v>2743</v>
      </c>
      <c r="R1922" s="33">
        <v>21113</v>
      </c>
      <c r="S1922" s="34">
        <v>42184</v>
      </c>
      <c r="T1922" s="34">
        <v>42186</v>
      </c>
      <c r="U1922" s="29">
        <v>-56.887999999999998</v>
      </c>
      <c r="V1922" s="26">
        <v>9</v>
      </c>
      <c r="W1922" s="29">
        <v>31.45</v>
      </c>
      <c r="X1922" s="26">
        <v>87474</v>
      </c>
      <c r="Y1922" s="35">
        <v>35.950000000000003</v>
      </c>
      <c r="Z1922" s="1" t="s">
        <v>3014</v>
      </c>
      <c r="AA1922" s="36">
        <v>2.8916999999999997</v>
      </c>
      <c r="AB1922" s="54">
        <v>12.894500000000001</v>
      </c>
      <c r="AC1922" s="54">
        <v>2.061722222222222</v>
      </c>
      <c r="AD1922" s="36">
        <v>81.276299999999992</v>
      </c>
    </row>
    <row r="1923" spans="1:30" s="37" customFormat="1" ht="15.75" customHeight="1" x14ac:dyDescent="0.2">
      <c r="A1923" s="26">
        <v>2089</v>
      </c>
      <c r="B1923" s="27" t="s">
        <v>3002</v>
      </c>
      <c r="C1923" s="27" t="s">
        <v>48</v>
      </c>
      <c r="D1923" s="28">
        <v>0.08</v>
      </c>
      <c r="E1923" s="29">
        <v>599.99</v>
      </c>
      <c r="F1923" s="29">
        <v>24.49</v>
      </c>
      <c r="G1923" s="30" t="s">
        <v>39</v>
      </c>
      <c r="H1923" s="27" t="s">
        <v>94</v>
      </c>
      <c r="I1923" s="27" t="s">
        <v>41</v>
      </c>
      <c r="J1923" s="27" t="s">
        <v>64</v>
      </c>
      <c r="K1923" s="27" t="s">
        <v>65</v>
      </c>
      <c r="L1923" s="31" t="s">
        <v>3005</v>
      </c>
      <c r="M1923" s="32">
        <v>0.37</v>
      </c>
      <c r="N1923" s="27" t="s">
        <v>33</v>
      </c>
      <c r="O1923" s="27" t="s">
        <v>111</v>
      </c>
      <c r="P1923" s="27" t="s">
        <v>112</v>
      </c>
      <c r="Q1923" s="27" t="s">
        <v>3004</v>
      </c>
      <c r="R1923" s="33">
        <v>10956</v>
      </c>
      <c r="S1923" s="34">
        <v>42185</v>
      </c>
      <c r="T1923" s="34">
        <v>42193</v>
      </c>
      <c r="U1923" s="29">
        <v>8798.1831000000002</v>
      </c>
      <c r="V1923" s="26">
        <v>22</v>
      </c>
      <c r="W1923" s="29">
        <v>12750.99</v>
      </c>
      <c r="X1923" s="26">
        <v>88348</v>
      </c>
      <c r="Y1923" s="35">
        <v>7.88</v>
      </c>
      <c r="Z1923" s="1" t="s">
        <v>3014</v>
      </c>
      <c r="AA1923" s="36">
        <v>1055.9824000000001</v>
      </c>
      <c r="AB1923" s="54">
        <v>8033.1237000000001</v>
      </c>
      <c r="AC1923" s="54">
        <v>214.44846818181819</v>
      </c>
      <c r="AD1923" s="36">
        <v>2872.334499999999</v>
      </c>
    </row>
    <row r="1924" spans="1:30" s="37" customFormat="1" ht="15.75" customHeight="1" x14ac:dyDescent="0.2">
      <c r="A1924" s="26">
        <v>2276</v>
      </c>
      <c r="B1924" s="27" t="s">
        <v>3009</v>
      </c>
      <c r="C1924" s="27" t="s">
        <v>3094</v>
      </c>
      <c r="D1924" s="28">
        <v>0.01</v>
      </c>
      <c r="E1924" s="29">
        <v>195.99</v>
      </c>
      <c r="F1924" s="29">
        <v>8.99</v>
      </c>
      <c r="G1924" s="30" t="s">
        <v>39</v>
      </c>
      <c r="H1924" s="27" t="s">
        <v>40</v>
      </c>
      <c r="I1924" s="27" t="s">
        <v>41</v>
      </c>
      <c r="J1924" s="27" t="s">
        <v>135</v>
      </c>
      <c r="K1924" s="27" t="s">
        <v>73</v>
      </c>
      <c r="L1924" s="31" t="s">
        <v>1343</v>
      </c>
      <c r="M1924" s="32">
        <v>0.6</v>
      </c>
      <c r="N1924" s="27" t="s">
        <v>33</v>
      </c>
      <c r="O1924" s="27" t="s">
        <v>111</v>
      </c>
      <c r="P1924" s="27" t="s">
        <v>112</v>
      </c>
      <c r="Q1924" s="27" t="s">
        <v>3010</v>
      </c>
      <c r="R1924" s="33">
        <v>14304</v>
      </c>
      <c r="S1924" s="34">
        <v>42185</v>
      </c>
      <c r="T1924" s="34">
        <v>42185</v>
      </c>
      <c r="U1924" s="29">
        <v>2653.7813999999998</v>
      </c>
      <c r="V1924" s="26">
        <v>22</v>
      </c>
      <c r="W1924" s="29">
        <v>3846.06</v>
      </c>
      <c r="X1924" s="26">
        <v>91502</v>
      </c>
      <c r="Y1924" s="35">
        <v>3.5900000000000003</v>
      </c>
      <c r="Z1924" s="1" t="s">
        <v>3014</v>
      </c>
      <c r="AA1924" s="36">
        <v>43.117800000000003</v>
      </c>
      <c r="AB1924" s="54">
        <v>1538.424</v>
      </c>
      <c r="AC1924" s="54">
        <v>104.89254545454544</v>
      </c>
      <c r="AD1924" s="36">
        <v>1140.1708000000003</v>
      </c>
    </row>
    <row r="1925" spans="1:30" s="37" customFormat="1" ht="15.75" customHeight="1" x14ac:dyDescent="0.2">
      <c r="A1925" s="26">
        <v>2882</v>
      </c>
      <c r="B1925" s="27" t="s">
        <v>671</v>
      </c>
      <c r="C1925" s="27" t="s">
        <v>48</v>
      </c>
      <c r="D1925" s="28">
        <v>0.05</v>
      </c>
      <c r="E1925" s="29">
        <v>63.94</v>
      </c>
      <c r="F1925" s="29">
        <v>14.48</v>
      </c>
      <c r="G1925" s="30" t="s">
        <v>87</v>
      </c>
      <c r="H1925" s="27" t="s">
        <v>40</v>
      </c>
      <c r="I1925" s="27" t="s">
        <v>29</v>
      </c>
      <c r="J1925" s="27" t="s">
        <v>126</v>
      </c>
      <c r="K1925" s="27" t="s">
        <v>73</v>
      </c>
      <c r="L1925" s="31" t="s">
        <v>1994</v>
      </c>
      <c r="M1925" s="32">
        <v>0.46</v>
      </c>
      <c r="N1925" s="27" t="s">
        <v>33</v>
      </c>
      <c r="O1925" s="27" t="s">
        <v>34</v>
      </c>
      <c r="P1925" s="27" t="s">
        <v>97</v>
      </c>
      <c r="Q1925" s="27" t="s">
        <v>673</v>
      </c>
      <c r="R1925" s="33">
        <v>28206</v>
      </c>
      <c r="S1925" s="34">
        <v>42185</v>
      </c>
      <c r="T1925" s="34">
        <v>42192</v>
      </c>
      <c r="U1925" s="29">
        <v>270.87430000000001</v>
      </c>
      <c r="V1925" s="26">
        <v>21</v>
      </c>
      <c r="W1925" s="29">
        <v>1336.35</v>
      </c>
      <c r="X1925" s="26">
        <v>40224</v>
      </c>
      <c r="Y1925" s="35">
        <v>9.6100000000000012</v>
      </c>
      <c r="Z1925" s="1" t="s">
        <v>3011</v>
      </c>
      <c r="AA1925" s="36">
        <v>67.137</v>
      </c>
      <c r="AB1925" s="54">
        <v>721.62900000000002</v>
      </c>
      <c r="AC1925" s="54">
        <v>29.27242857142857</v>
      </c>
      <c r="AD1925" s="36">
        <v>983.85869999999989</v>
      </c>
    </row>
    <row r="1926" spans="1:30" s="37" customFormat="1" ht="15.75" customHeight="1" x14ac:dyDescent="0.2">
      <c r="A1926" s="26">
        <v>2089</v>
      </c>
      <c r="B1926" s="27" t="s">
        <v>3002</v>
      </c>
      <c r="C1926" s="27" t="s">
        <v>48</v>
      </c>
      <c r="D1926" s="28">
        <v>0.06</v>
      </c>
      <c r="E1926" s="29">
        <v>38.06</v>
      </c>
      <c r="F1926" s="29">
        <v>4.5</v>
      </c>
      <c r="G1926" s="30" t="s">
        <v>39</v>
      </c>
      <c r="H1926" s="27" t="s">
        <v>94</v>
      </c>
      <c r="I1926" s="27" t="s">
        <v>49</v>
      </c>
      <c r="J1926" s="27" t="s">
        <v>95</v>
      </c>
      <c r="K1926" s="27" t="s">
        <v>73</v>
      </c>
      <c r="L1926" s="31" t="s">
        <v>3003</v>
      </c>
      <c r="M1926" s="32">
        <v>0.56000000000000005</v>
      </c>
      <c r="N1926" s="27" t="s">
        <v>33</v>
      </c>
      <c r="O1926" s="27" t="s">
        <v>111</v>
      </c>
      <c r="P1926" s="27" t="s">
        <v>112</v>
      </c>
      <c r="Q1926" s="27" t="s">
        <v>3004</v>
      </c>
      <c r="R1926" s="33">
        <v>10956</v>
      </c>
      <c r="S1926" s="34">
        <v>42185</v>
      </c>
      <c r="T1926" s="34">
        <v>42191</v>
      </c>
      <c r="U1926" s="29">
        <v>450.45960000000002</v>
      </c>
      <c r="V1926" s="26">
        <v>17</v>
      </c>
      <c r="W1926" s="29">
        <v>652.84</v>
      </c>
      <c r="X1926" s="26">
        <v>88348</v>
      </c>
      <c r="Y1926" s="35">
        <v>7.88</v>
      </c>
      <c r="Z1926" s="1" t="s">
        <v>3014</v>
      </c>
      <c r="AA1926" s="36">
        <v>38.821199999999997</v>
      </c>
      <c r="AB1926" s="54">
        <v>287.24959999999999</v>
      </c>
      <c r="AC1926" s="54">
        <v>21.505317647058828</v>
      </c>
      <c r="AD1926" s="36">
        <v>159.05920000000003</v>
      </c>
    </row>
    <row r="1927" spans="1:30" s="37" customFormat="1" ht="15.75" customHeight="1" x14ac:dyDescent="0.2">
      <c r="A1927" s="26">
        <v>1472</v>
      </c>
      <c r="B1927" s="27" t="s">
        <v>2669</v>
      </c>
      <c r="C1927" s="27" t="s">
        <v>3094</v>
      </c>
      <c r="D1927" s="28">
        <v>0.02</v>
      </c>
      <c r="E1927" s="29">
        <v>30.98</v>
      </c>
      <c r="F1927" s="29">
        <v>6.5</v>
      </c>
      <c r="G1927" s="30" t="s">
        <v>87</v>
      </c>
      <c r="H1927" s="27" t="s">
        <v>71</v>
      </c>
      <c r="I1927" s="27" t="s">
        <v>41</v>
      </c>
      <c r="J1927" s="27" t="s">
        <v>42</v>
      </c>
      <c r="K1927" s="27" t="s">
        <v>73</v>
      </c>
      <c r="L1927" s="31" t="s">
        <v>2855</v>
      </c>
      <c r="M1927" s="32">
        <v>0.79</v>
      </c>
      <c r="N1927" s="27" t="s">
        <v>33</v>
      </c>
      <c r="O1927" s="27" t="s">
        <v>111</v>
      </c>
      <c r="P1927" s="27" t="s">
        <v>317</v>
      </c>
      <c r="Q1927" s="27" t="s">
        <v>2670</v>
      </c>
      <c r="R1927" s="33">
        <v>44145</v>
      </c>
      <c r="S1927" s="34">
        <v>42185</v>
      </c>
      <c r="T1927" s="34">
        <v>42186</v>
      </c>
      <c r="U1927" s="29">
        <v>-44.624000000000002</v>
      </c>
      <c r="V1927" s="26">
        <v>17</v>
      </c>
      <c r="W1927" s="29">
        <v>552.89</v>
      </c>
      <c r="X1927" s="26">
        <v>87078</v>
      </c>
      <c r="Y1927" s="35">
        <v>3.5900000000000003</v>
      </c>
      <c r="Z1927" s="1" t="s">
        <v>3014</v>
      </c>
      <c r="AA1927" s="36">
        <v>10.533200000000001</v>
      </c>
      <c r="AB1927" s="54">
        <v>116.10689999999998</v>
      </c>
      <c r="AC1927" s="54">
        <v>25.693123529411768</v>
      </c>
      <c r="AD1927" s="36">
        <v>580.48080000000004</v>
      </c>
    </row>
    <row r="1928" spans="1:30" s="37" customFormat="1" ht="15.75" customHeight="1" x14ac:dyDescent="0.2">
      <c r="A1928" s="26">
        <v>2885</v>
      </c>
      <c r="B1928" s="27" t="s">
        <v>3007</v>
      </c>
      <c r="C1928" s="27" t="s">
        <v>48</v>
      </c>
      <c r="D1928" s="28">
        <v>0.05</v>
      </c>
      <c r="E1928" s="29">
        <v>63.94</v>
      </c>
      <c r="F1928" s="29">
        <v>14.48</v>
      </c>
      <c r="G1928" s="30" t="s">
        <v>87</v>
      </c>
      <c r="H1928" s="27" t="s">
        <v>40</v>
      </c>
      <c r="I1928" s="27" t="s">
        <v>29</v>
      </c>
      <c r="J1928" s="27" t="s">
        <v>126</v>
      </c>
      <c r="K1928" s="27" t="s">
        <v>73</v>
      </c>
      <c r="L1928" s="31" t="s">
        <v>1994</v>
      </c>
      <c r="M1928" s="32">
        <v>0.46</v>
      </c>
      <c r="N1928" s="27" t="s">
        <v>33</v>
      </c>
      <c r="O1928" s="27" t="s">
        <v>111</v>
      </c>
      <c r="P1928" s="27" t="s">
        <v>317</v>
      </c>
      <c r="Q1928" s="27" t="s">
        <v>3008</v>
      </c>
      <c r="R1928" s="33">
        <v>44133</v>
      </c>
      <c r="S1928" s="34">
        <v>42185</v>
      </c>
      <c r="T1928" s="34">
        <v>42192</v>
      </c>
      <c r="U1928" s="29">
        <v>219.54419999999999</v>
      </c>
      <c r="V1928" s="26">
        <v>5</v>
      </c>
      <c r="W1928" s="29">
        <v>318.18</v>
      </c>
      <c r="X1928" s="26">
        <v>87634</v>
      </c>
      <c r="Y1928" s="35">
        <v>9.6100000000000012</v>
      </c>
      <c r="Z1928" s="1" t="s">
        <v>3014</v>
      </c>
      <c r="AA1928" s="36">
        <v>15.984999999999999</v>
      </c>
      <c r="AB1928" s="54">
        <v>171.81720000000001</v>
      </c>
      <c r="AC1928" s="54">
        <v>29.272560000000002</v>
      </c>
      <c r="AD1928" s="36">
        <v>68.170800000000042</v>
      </c>
    </row>
    <row r="1929" spans="1:30" s="37" customFormat="1" ht="15.75" customHeight="1" x14ac:dyDescent="0.2">
      <c r="A1929" s="26">
        <v>699</v>
      </c>
      <c r="B1929" s="27" t="s">
        <v>861</v>
      </c>
      <c r="C1929" s="27" t="s">
        <v>38</v>
      </c>
      <c r="D1929" s="28">
        <v>0.01</v>
      </c>
      <c r="E1929" s="29">
        <v>7.89</v>
      </c>
      <c r="F1929" s="29">
        <v>2.82</v>
      </c>
      <c r="G1929" s="30" t="s">
        <v>39</v>
      </c>
      <c r="H1929" s="27" t="s">
        <v>40</v>
      </c>
      <c r="I1929" s="27" t="s">
        <v>49</v>
      </c>
      <c r="J1929" s="27" t="s">
        <v>176</v>
      </c>
      <c r="K1929" s="27" t="s">
        <v>51</v>
      </c>
      <c r="L1929" s="31" t="s">
        <v>3000</v>
      </c>
      <c r="M1929" s="32">
        <v>0.4</v>
      </c>
      <c r="N1929" s="27" t="s">
        <v>33</v>
      </c>
      <c r="O1929" s="27" t="s">
        <v>60</v>
      </c>
      <c r="P1929" s="27" t="s">
        <v>90</v>
      </c>
      <c r="Q1929" s="27" t="s">
        <v>100</v>
      </c>
      <c r="R1929" s="33">
        <v>90041</v>
      </c>
      <c r="S1929" s="34">
        <v>42185</v>
      </c>
      <c r="T1929" s="34">
        <v>42186</v>
      </c>
      <c r="U1929" s="29">
        <v>38.700000000000003</v>
      </c>
      <c r="V1929" s="26">
        <v>32</v>
      </c>
      <c r="W1929" s="29">
        <v>274.26</v>
      </c>
      <c r="X1929" s="26">
        <v>36647</v>
      </c>
      <c r="Y1929" s="35">
        <v>8.2900000000000009</v>
      </c>
      <c r="Z1929" s="1" t="s">
        <v>3013</v>
      </c>
      <c r="AA1929" s="36">
        <v>2.5247999999999999</v>
      </c>
      <c r="AB1929" s="54">
        <v>164.55599999999998</v>
      </c>
      <c r="AC1929" s="54">
        <v>3.4282500000000002</v>
      </c>
      <c r="AD1929" s="36">
        <v>230.21519999999998</v>
      </c>
    </row>
    <row r="1930" spans="1:30" s="37" customFormat="1" ht="15.75" customHeight="1" x14ac:dyDescent="0.2">
      <c r="A1930" s="26">
        <v>699</v>
      </c>
      <c r="B1930" s="27" t="s">
        <v>861</v>
      </c>
      <c r="C1930" s="27" t="s">
        <v>38</v>
      </c>
      <c r="D1930" s="28">
        <v>0.1</v>
      </c>
      <c r="E1930" s="29">
        <v>9.7100000000000009</v>
      </c>
      <c r="F1930" s="29">
        <v>9.4499999999999993</v>
      </c>
      <c r="G1930" s="30" t="s">
        <v>39</v>
      </c>
      <c r="H1930" s="27" t="s">
        <v>40</v>
      </c>
      <c r="I1930" s="27" t="s">
        <v>49</v>
      </c>
      <c r="J1930" s="27" t="s">
        <v>78</v>
      </c>
      <c r="K1930" s="27" t="s">
        <v>73</v>
      </c>
      <c r="L1930" s="31" t="s">
        <v>1203</v>
      </c>
      <c r="M1930" s="32">
        <v>0.6</v>
      </c>
      <c r="N1930" s="27" t="s">
        <v>33</v>
      </c>
      <c r="O1930" s="27" t="s">
        <v>60</v>
      </c>
      <c r="P1930" s="27" t="s">
        <v>90</v>
      </c>
      <c r="Q1930" s="27" t="s">
        <v>100</v>
      </c>
      <c r="R1930" s="33">
        <v>90041</v>
      </c>
      <c r="S1930" s="34">
        <v>42185</v>
      </c>
      <c r="T1930" s="34">
        <v>42188</v>
      </c>
      <c r="U1930" s="29">
        <v>-119.77</v>
      </c>
      <c r="V1930" s="26">
        <v>27</v>
      </c>
      <c r="W1930" s="29">
        <v>261.93</v>
      </c>
      <c r="X1930" s="26">
        <v>36647</v>
      </c>
      <c r="Y1930" s="35">
        <v>38</v>
      </c>
      <c r="Z1930" s="1" t="s">
        <v>3013</v>
      </c>
      <c r="AA1930" s="36">
        <v>26.217000000000002</v>
      </c>
      <c r="AB1930" s="54">
        <v>104.77200000000001</v>
      </c>
      <c r="AC1930" s="54">
        <v>5.820666666666666</v>
      </c>
      <c r="AD1930" s="36">
        <v>346.03300000000002</v>
      </c>
    </row>
    <row r="1931" spans="1:30" s="37" customFormat="1" ht="15.75" customHeight="1" x14ac:dyDescent="0.2">
      <c r="A1931" s="26">
        <v>1307</v>
      </c>
      <c r="B1931" s="27" t="s">
        <v>3001</v>
      </c>
      <c r="C1931" s="27" t="s">
        <v>48</v>
      </c>
      <c r="D1931" s="28">
        <v>0.04</v>
      </c>
      <c r="E1931" s="29">
        <v>8.33</v>
      </c>
      <c r="F1931" s="29">
        <v>1.99</v>
      </c>
      <c r="G1931" s="30" t="s">
        <v>39</v>
      </c>
      <c r="H1931" s="27" t="s">
        <v>3095</v>
      </c>
      <c r="I1931" s="27" t="s">
        <v>41</v>
      </c>
      <c r="J1931" s="27" t="s">
        <v>42</v>
      </c>
      <c r="K1931" s="27" t="s">
        <v>43</v>
      </c>
      <c r="L1931" s="31" t="s">
        <v>1174</v>
      </c>
      <c r="M1931" s="32">
        <v>0.52</v>
      </c>
      <c r="N1931" s="27" t="s">
        <v>33</v>
      </c>
      <c r="O1931" s="27" t="s">
        <v>60</v>
      </c>
      <c r="P1931" s="27" t="s">
        <v>139</v>
      </c>
      <c r="Q1931" s="27" t="s">
        <v>2285</v>
      </c>
      <c r="R1931" s="33">
        <v>97420</v>
      </c>
      <c r="S1931" s="34">
        <v>42185</v>
      </c>
      <c r="T1931" s="34">
        <v>42192</v>
      </c>
      <c r="U1931" s="29">
        <v>44.892000000000003</v>
      </c>
      <c r="V1931" s="26">
        <v>16</v>
      </c>
      <c r="W1931" s="29">
        <v>131.26</v>
      </c>
      <c r="X1931" s="26">
        <v>91451</v>
      </c>
      <c r="Y1931" s="35">
        <v>599.91</v>
      </c>
      <c r="Z1931" s="1" t="s">
        <v>3013</v>
      </c>
      <c r="AA1931" s="36">
        <v>5.3311999999999999</v>
      </c>
      <c r="AB1931" s="54">
        <v>63.004799999999996</v>
      </c>
      <c r="AC1931" s="54">
        <v>4.2659500000000001</v>
      </c>
      <c r="AD1931" s="36">
        <v>79.04679999999999</v>
      </c>
    </row>
    <row r="1932" spans="1:30" s="37" customFormat="1" ht="15.75" customHeight="1" x14ac:dyDescent="0.2">
      <c r="A1932" s="26">
        <v>1384</v>
      </c>
      <c r="B1932" s="27" t="s">
        <v>2791</v>
      </c>
      <c r="C1932" s="27" t="s">
        <v>3094</v>
      </c>
      <c r="D1932" s="28">
        <v>7.0000000000000007E-2</v>
      </c>
      <c r="E1932" s="29">
        <v>11.29</v>
      </c>
      <c r="F1932" s="29">
        <v>5.03</v>
      </c>
      <c r="G1932" s="30" t="s">
        <v>39</v>
      </c>
      <c r="H1932" s="27" t="s">
        <v>40</v>
      </c>
      <c r="I1932" s="27" t="s">
        <v>49</v>
      </c>
      <c r="J1932" s="27" t="s">
        <v>78</v>
      </c>
      <c r="K1932" s="27" t="s">
        <v>73</v>
      </c>
      <c r="L1932" s="31" t="s">
        <v>1260</v>
      </c>
      <c r="M1932" s="32">
        <v>0.59</v>
      </c>
      <c r="N1932" s="27" t="s">
        <v>33</v>
      </c>
      <c r="O1932" s="27" t="s">
        <v>34</v>
      </c>
      <c r="P1932" s="27" t="s">
        <v>242</v>
      </c>
      <c r="Q1932" s="27" t="s">
        <v>2732</v>
      </c>
      <c r="R1932" s="33">
        <v>22304</v>
      </c>
      <c r="S1932" s="34">
        <v>42185</v>
      </c>
      <c r="T1932" s="34">
        <v>42187</v>
      </c>
      <c r="U1932" s="29">
        <v>-163.03</v>
      </c>
      <c r="V1932" s="26">
        <v>11</v>
      </c>
      <c r="W1932" s="29">
        <v>123.18</v>
      </c>
      <c r="X1932" s="26">
        <v>89407</v>
      </c>
      <c r="Y1932" s="35">
        <v>3.88</v>
      </c>
      <c r="Z1932" s="1" t="s">
        <v>3011</v>
      </c>
      <c r="AA1932" s="36">
        <v>8.6933000000000007</v>
      </c>
      <c r="AB1932" s="54">
        <v>50.503800000000005</v>
      </c>
      <c r="AC1932" s="54">
        <v>6.6069272727272725</v>
      </c>
      <c r="AD1932" s="36">
        <v>272.48670000000004</v>
      </c>
    </row>
    <row r="1933" spans="1:30" s="37" customFormat="1" ht="15.75" customHeight="1" x14ac:dyDescent="0.2">
      <c r="A1933" s="26">
        <v>699</v>
      </c>
      <c r="B1933" s="27" t="s">
        <v>861</v>
      </c>
      <c r="C1933" s="27" t="s">
        <v>38</v>
      </c>
      <c r="D1933" s="28">
        <v>0.09</v>
      </c>
      <c r="E1933" s="29">
        <v>3.68</v>
      </c>
      <c r="F1933" s="29">
        <v>1.32</v>
      </c>
      <c r="G1933" s="30" t="s">
        <v>39</v>
      </c>
      <c r="H1933" s="27" t="s">
        <v>40</v>
      </c>
      <c r="I1933" s="27" t="s">
        <v>49</v>
      </c>
      <c r="J1933" s="27" t="s">
        <v>568</v>
      </c>
      <c r="K1933" s="27" t="s">
        <v>51</v>
      </c>
      <c r="L1933" s="31" t="s">
        <v>2526</v>
      </c>
      <c r="M1933" s="32">
        <v>0.83</v>
      </c>
      <c r="N1933" s="27" t="s">
        <v>33</v>
      </c>
      <c r="O1933" s="27" t="s">
        <v>60</v>
      </c>
      <c r="P1933" s="27" t="s">
        <v>90</v>
      </c>
      <c r="Q1933" s="27" t="s">
        <v>100</v>
      </c>
      <c r="R1933" s="33">
        <v>90041</v>
      </c>
      <c r="S1933" s="34">
        <v>42185</v>
      </c>
      <c r="T1933" s="34">
        <v>42186</v>
      </c>
      <c r="U1933" s="29">
        <v>-21.91</v>
      </c>
      <c r="V1933" s="26">
        <v>24</v>
      </c>
      <c r="W1933" s="29">
        <v>83.16</v>
      </c>
      <c r="X1933" s="26">
        <v>36647</v>
      </c>
      <c r="Y1933" s="35">
        <v>63.89</v>
      </c>
      <c r="Z1933" s="1" t="s">
        <v>3013</v>
      </c>
      <c r="AA1933" s="36">
        <v>7.9488000000000003</v>
      </c>
      <c r="AB1933" s="54">
        <v>14.137200000000004</v>
      </c>
      <c r="AC1933" s="54">
        <v>2.8759499999999996</v>
      </c>
      <c r="AD1933" s="36">
        <v>95.801199999999994</v>
      </c>
    </row>
    <row r="1934" spans="1:30" s="37" customFormat="1" ht="15.75" customHeight="1" x14ac:dyDescent="0.2">
      <c r="A1934" s="26">
        <v>702</v>
      </c>
      <c r="B1934" s="27" t="s">
        <v>2276</v>
      </c>
      <c r="C1934" s="27" t="s">
        <v>38</v>
      </c>
      <c r="D1934" s="28">
        <v>0.01</v>
      </c>
      <c r="E1934" s="29">
        <v>7.89</v>
      </c>
      <c r="F1934" s="29">
        <v>2.82</v>
      </c>
      <c r="G1934" s="30" t="s">
        <v>39</v>
      </c>
      <c r="H1934" s="27" t="s">
        <v>40</v>
      </c>
      <c r="I1934" s="27" t="s">
        <v>49</v>
      </c>
      <c r="J1934" s="27" t="s">
        <v>176</v>
      </c>
      <c r="K1934" s="27" t="s">
        <v>51</v>
      </c>
      <c r="L1934" s="31" t="s">
        <v>3000</v>
      </c>
      <c r="M1934" s="32">
        <v>0.4</v>
      </c>
      <c r="N1934" s="27" t="s">
        <v>33</v>
      </c>
      <c r="O1934" s="27" t="s">
        <v>60</v>
      </c>
      <c r="P1934" s="27" t="s">
        <v>90</v>
      </c>
      <c r="Q1934" s="27" t="s">
        <v>2277</v>
      </c>
      <c r="R1934" s="33">
        <v>95404</v>
      </c>
      <c r="S1934" s="34">
        <v>42185</v>
      </c>
      <c r="T1934" s="34">
        <v>42186</v>
      </c>
      <c r="U1934" s="29">
        <v>46.44</v>
      </c>
      <c r="V1934" s="26">
        <v>8</v>
      </c>
      <c r="W1934" s="29">
        <v>68.56</v>
      </c>
      <c r="X1934" s="26">
        <v>87979</v>
      </c>
      <c r="Y1934" s="35">
        <v>63.89</v>
      </c>
      <c r="Z1934" s="1" t="s">
        <v>3013</v>
      </c>
      <c r="AA1934" s="36">
        <v>0.63119999999999998</v>
      </c>
      <c r="AB1934" s="54">
        <v>41.136000000000003</v>
      </c>
      <c r="AC1934" s="54">
        <v>3.4280000000000004</v>
      </c>
      <c r="AD1934" s="36">
        <v>18.668800000000005</v>
      </c>
    </row>
    <row r="1935" spans="1:30" s="37" customFormat="1" ht="15.75" customHeight="1" x14ac:dyDescent="0.2">
      <c r="A1935" s="26">
        <v>702</v>
      </c>
      <c r="B1935" s="27" t="s">
        <v>2276</v>
      </c>
      <c r="C1935" s="27" t="s">
        <v>38</v>
      </c>
      <c r="D1935" s="28">
        <v>0.1</v>
      </c>
      <c r="E1935" s="29">
        <v>9.7100000000000009</v>
      </c>
      <c r="F1935" s="29">
        <v>9.4499999999999993</v>
      </c>
      <c r="G1935" s="30" t="s">
        <v>39</v>
      </c>
      <c r="H1935" s="27" t="s">
        <v>40</v>
      </c>
      <c r="I1935" s="27" t="s">
        <v>49</v>
      </c>
      <c r="J1935" s="27" t="s">
        <v>78</v>
      </c>
      <c r="K1935" s="27" t="s">
        <v>73</v>
      </c>
      <c r="L1935" s="31" t="s">
        <v>1203</v>
      </c>
      <c r="M1935" s="32">
        <v>0.6</v>
      </c>
      <c r="N1935" s="27" t="s">
        <v>33</v>
      </c>
      <c r="O1935" s="27" t="s">
        <v>60</v>
      </c>
      <c r="P1935" s="27" t="s">
        <v>90</v>
      </c>
      <c r="Q1935" s="27" t="s">
        <v>2277</v>
      </c>
      <c r="R1935" s="33">
        <v>95404</v>
      </c>
      <c r="S1935" s="34">
        <v>42185</v>
      </c>
      <c r="T1935" s="34">
        <v>42188</v>
      </c>
      <c r="U1935" s="29">
        <v>-95.816000000000003</v>
      </c>
      <c r="V1935" s="26">
        <v>7</v>
      </c>
      <c r="W1935" s="29">
        <v>67.91</v>
      </c>
      <c r="X1935" s="26">
        <v>87979</v>
      </c>
      <c r="Y1935" s="35">
        <v>11.219999999999999</v>
      </c>
      <c r="Z1935" s="1" t="s">
        <v>3013</v>
      </c>
      <c r="AA1935" s="36">
        <v>6.7970000000000006</v>
      </c>
      <c r="AB1935" s="54">
        <v>27.164000000000001</v>
      </c>
      <c r="AC1935" s="54">
        <v>5.8208571428571423</v>
      </c>
      <c r="AD1935" s="36">
        <v>147.47899999999998</v>
      </c>
    </row>
    <row r="1936" spans="1:30" s="37" customFormat="1" ht="15.75" customHeight="1" x14ac:dyDescent="0.2">
      <c r="A1936" s="26">
        <v>702</v>
      </c>
      <c r="B1936" s="27" t="s">
        <v>2276</v>
      </c>
      <c r="C1936" s="27" t="s">
        <v>38</v>
      </c>
      <c r="D1936" s="28">
        <v>0.09</v>
      </c>
      <c r="E1936" s="29">
        <v>3.68</v>
      </c>
      <c r="F1936" s="29">
        <v>1.32</v>
      </c>
      <c r="G1936" s="30" t="s">
        <v>39</v>
      </c>
      <c r="H1936" s="27" t="s">
        <v>40</v>
      </c>
      <c r="I1936" s="27" t="s">
        <v>49</v>
      </c>
      <c r="J1936" s="27" t="s">
        <v>568</v>
      </c>
      <c r="K1936" s="27" t="s">
        <v>51</v>
      </c>
      <c r="L1936" s="31" t="s">
        <v>2526</v>
      </c>
      <c r="M1936" s="32">
        <v>0.83</v>
      </c>
      <c r="N1936" s="27" t="s">
        <v>33</v>
      </c>
      <c r="O1936" s="27" t="s">
        <v>60</v>
      </c>
      <c r="P1936" s="27" t="s">
        <v>90</v>
      </c>
      <c r="Q1936" s="27" t="s">
        <v>2277</v>
      </c>
      <c r="R1936" s="33">
        <v>95404</v>
      </c>
      <c r="S1936" s="34">
        <v>42185</v>
      </c>
      <c r="T1936" s="34">
        <v>42186</v>
      </c>
      <c r="U1936" s="29">
        <v>-17.527999999999999</v>
      </c>
      <c r="V1936" s="26">
        <v>6</v>
      </c>
      <c r="W1936" s="29">
        <v>20.79</v>
      </c>
      <c r="X1936" s="26">
        <v>87979</v>
      </c>
      <c r="Y1936" s="35">
        <v>30.96</v>
      </c>
      <c r="Z1936" s="1" t="s">
        <v>3013</v>
      </c>
      <c r="AA1936" s="36">
        <v>1.9872000000000001</v>
      </c>
      <c r="AB1936" s="54">
        <v>3.5343000000000009</v>
      </c>
      <c r="AC1936" s="54">
        <v>2.8759499999999996</v>
      </c>
      <c r="AD1936" s="36">
        <v>35.010799999999996</v>
      </c>
    </row>
    <row r="1937" spans="1:30" s="37" customFormat="1" ht="15.75" customHeight="1" x14ac:dyDescent="0.2">
      <c r="A1937" s="26">
        <v>2089</v>
      </c>
      <c r="B1937" s="27" t="s">
        <v>3002</v>
      </c>
      <c r="C1937" s="27" t="s">
        <v>48</v>
      </c>
      <c r="D1937" s="28">
        <v>0.1</v>
      </c>
      <c r="E1937" s="29">
        <v>3.98</v>
      </c>
      <c r="F1937" s="29">
        <v>2.97</v>
      </c>
      <c r="G1937" s="30" t="s">
        <v>87</v>
      </c>
      <c r="H1937" s="27" t="s">
        <v>94</v>
      </c>
      <c r="I1937" s="27" t="s">
        <v>49</v>
      </c>
      <c r="J1937" s="27" t="s">
        <v>88</v>
      </c>
      <c r="K1937" s="27" t="s">
        <v>51</v>
      </c>
      <c r="L1937" s="31" t="s">
        <v>3006</v>
      </c>
      <c r="M1937" s="32">
        <v>0.35</v>
      </c>
      <c r="N1937" s="27" t="s">
        <v>33</v>
      </c>
      <c r="O1937" s="27" t="s">
        <v>111</v>
      </c>
      <c r="P1937" s="27" t="s">
        <v>112</v>
      </c>
      <c r="Q1937" s="27" t="s">
        <v>3004</v>
      </c>
      <c r="R1937" s="33">
        <v>10956</v>
      </c>
      <c r="S1937" s="34">
        <v>42185</v>
      </c>
      <c r="T1937" s="34">
        <v>42189</v>
      </c>
      <c r="U1937" s="29">
        <v>-5.3849999999999998</v>
      </c>
      <c r="V1937" s="26">
        <v>5</v>
      </c>
      <c r="W1937" s="29">
        <v>20.54</v>
      </c>
      <c r="X1937" s="26">
        <v>88348</v>
      </c>
      <c r="Y1937" s="35">
        <v>195.98000000000002</v>
      </c>
      <c r="Z1937" s="1" t="s">
        <v>3014</v>
      </c>
      <c r="AA1937" s="36">
        <v>1.9900000000000002</v>
      </c>
      <c r="AB1937" s="54">
        <v>13.350999999999999</v>
      </c>
      <c r="AC1937" s="54">
        <v>1.4377999999999997</v>
      </c>
      <c r="AD1937" s="36">
        <v>20.965</v>
      </c>
    </row>
    <row r="1938" spans="1:30" s="37" customFormat="1" ht="15.75" customHeight="1" x14ac:dyDescent="0.2">
      <c r="A1938" s="38"/>
      <c r="B1938" s="39"/>
      <c r="C1938" s="39"/>
      <c r="D1938" s="40"/>
      <c r="E1938" s="41"/>
      <c r="F1938" s="41">
        <f>SUBTOTAL(109,Table_1[Shipping Cost])</f>
        <v>24748.430000000164</v>
      </c>
      <c r="G1938" s="42"/>
      <c r="H1938" s="39"/>
      <c r="I1938" s="39"/>
      <c r="J1938" s="39">
        <f>COUNT(DataSheet!$J$2:$J$1937)</f>
        <v>0</v>
      </c>
      <c r="K1938" s="39"/>
      <c r="L1938" s="43"/>
      <c r="M1938" s="44"/>
      <c r="N1938" s="39"/>
      <c r="O1938" s="39"/>
      <c r="P1938" s="39"/>
      <c r="Q1938" s="39"/>
      <c r="R1938" s="45"/>
      <c r="S1938" s="34"/>
      <c r="T1938" s="34"/>
      <c r="U1938" s="41">
        <f>SUBTOTAL(109,Table_1[Profit])</f>
        <v>215023.39973715009</v>
      </c>
      <c r="V1938" s="38"/>
      <c r="W1938" s="41"/>
      <c r="X1938" s="44">
        <f>SUBTOTAL(102,Table_1[Order ID])</f>
        <v>1936</v>
      </c>
      <c r="Y1938" s="41"/>
      <c r="Z1938" s="39"/>
      <c r="AA1938" s="46"/>
      <c r="AB1938" s="46"/>
      <c r="AC1938" s="46"/>
      <c r="AD1938" s="50">
        <f>SUBTOTAL(109,Table_1[Cumulative cost])</f>
        <v>1550633.4510628521</v>
      </c>
    </row>
    <row r="1939" spans="1:30" ht="15.75" customHeight="1" x14ac:dyDescent="0.2">
      <c r="X1939" s="47">
        <f>COUNT(_xlfn.UNIQUE(Table_1[[#Headers],[#Data],[Order ID]]))</f>
        <v>1358</v>
      </c>
    </row>
  </sheetData>
  <phoneticPr fontId="4" type="noConversion"/>
  <conditionalFormatting sqref="AD1:AD1048576">
    <cfRule type="cellIs" dxfId="62" priority="1" operator="lessThan">
      <formula>0</formula>
    </cfRule>
  </conditionalFormatting>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 � � � � � � � 
</file>

<file path=customXml/item3.xml>�� � � � � � � � � 
</file>

<file path=customXml/item4.xml>�� 
</file>

<file path=customXml/item5.xml>�� � � � � � � � � 
</file>

<file path=customXml/item6.xml>�� 
</file>

<file path=customXml/item7.xml>�� 
</file>

<file path=customXml/item8.xml>�� � � � � � � � � 
</file>

<file path=customXml/item9.xml>�� � � � � � � � � � � � � � � � � � � � � � � � � 
</file>

<file path=customXml/item10.xml>�� � � � � � � � � 
</file>

<file path=customXml/item11.xml>�� 
</file>

<file path=customXml/item12.xml>�� � � � � � � � � 
</file>

<file path=customXml/item13.xml>�� 
</file>

<file path=customXml/item14.xml>�� 
</file>

<file path=customXml/item15.xml>�� 
</file>

<file path=customXml/item16.xml>�� � � � � � � � � 
</file>

<file path=customXml/item17.xml>�� � � � � � � � � 
</file>

<file path=customXml/item18.xml>�� � � � � � � � � 
</file>

<file path=customXml/item19.xml>�� 
</file>

<file path=customXml/item20.xml>�� 
</file>

<file path=customXml/item21.xml>�� 
</file>

<file path=customXml/item22.xml>�� � � � � � � � � 
</file>

<file path=customXml/item23.xml>�� 
</file>

<file path=customXml/item24.xml>�� � � � � � � � � 
</file>

<file path=customXml/item25.xml>�� 
</file>

<file path=customXml/item26.xml>�� 
</file>

<file path=customXml/item27.xml>�� 
</file>

<file path=customXml/item28.xml>�� � � � � � � � � 
</file>

<file path=customXml/item29.xml>�� 
</file>

<file path=customXml/itemProps1.xml><?xml version="1.0" encoding="utf-8"?>
<ds:datastoreItem xmlns:ds="http://schemas.openxmlformats.org/officeDocument/2006/customXml" ds:itemID="{0DCC9C51-B1B0-4DD0-B65E-EA53C993AC74}">
  <ds:schemaRefs/>
</ds:datastoreItem>
</file>

<file path=customXml/itemProps2.xml><?xml version="1.0" encoding="utf-8"?>
<ds:datastoreItem xmlns:ds="http://schemas.openxmlformats.org/officeDocument/2006/customXml" ds:itemID="{1142B44C-43CF-4D83-B36B-605D131B1717}">
  <ds:schemaRefs/>
</ds:datastoreItem>
</file>

<file path=customXml/itemProps3.xml><?xml version="1.0" encoding="utf-8"?>
<ds:datastoreItem xmlns:ds="http://schemas.openxmlformats.org/officeDocument/2006/customXml" ds:itemID="{D5E97E16-170A-4B3F-84EE-F30AC0EEC8A0}">
  <ds:schemaRefs/>
</ds:datastoreItem>
</file>

<file path=customXml/itemProps4.xml><?xml version="1.0" encoding="utf-8"?>
<ds:datastoreItem xmlns:ds="http://schemas.openxmlformats.org/officeDocument/2006/customXml" ds:itemID="{5A45F1DF-17D6-4F2A-A0AE-8BC2C92F977A}">
  <ds:schemaRefs/>
</ds:datastoreItem>
</file>

<file path=customXml/itemProps5.xml><?xml version="1.0" encoding="utf-8"?>
<ds:datastoreItem xmlns:ds="http://schemas.openxmlformats.org/officeDocument/2006/customXml" ds:itemID="{065618F7-C788-4C06-8A69-F0471BF0EBBE}">
  <ds:schemaRefs/>
</ds:datastoreItem>
</file>

<file path=customXml/itemProps6.xml><?xml version="1.0" encoding="utf-8"?>
<ds:datastoreItem xmlns:ds="http://schemas.openxmlformats.org/officeDocument/2006/customXml" ds:itemID="{8933CD8B-A441-44E9-8665-F71E6CF88E1C}">
  <ds:schemaRefs/>
</ds:datastoreItem>
</file>

<file path=customXml/itemProps7.xml><?xml version="1.0" encoding="utf-8"?>
<ds:datastoreItem xmlns:ds="http://schemas.openxmlformats.org/officeDocument/2006/customXml" ds:itemID="{69530730-C47C-47C6-BA93-4760280E538F}">
  <ds:schemaRefs/>
</ds:datastoreItem>
</file>

<file path=customXml/itemProps8.xml><?xml version="1.0" encoding="utf-8"?>
<ds:datastoreItem xmlns:ds="http://schemas.openxmlformats.org/officeDocument/2006/customXml" ds:itemID="{7207391A-8EDF-4078-9168-D01440DF23E5}">
  <ds:schemaRefs/>
</ds:datastoreItem>
</file>

<file path=customXml/itemProps9.xml><?xml version="1.0" encoding="utf-8"?>
<ds:datastoreItem xmlns:ds="http://schemas.openxmlformats.org/officeDocument/2006/customXml" ds:itemID="{F45D48E8-EE4F-413C-A2FE-6BA1F6C84619}">
  <ds:schemaRefs/>
</ds:datastoreItem>
</file>

<file path=customXml/itemProps10.xml><?xml version="1.0" encoding="utf-8"?>
<ds:datastoreItem xmlns:ds="http://schemas.openxmlformats.org/officeDocument/2006/customXml" ds:itemID="{238AF1A1-CC3B-49E3-898A-78115A108B8F}">
  <ds:schemaRefs/>
</ds:datastoreItem>
</file>

<file path=customXml/itemProps11.xml><?xml version="1.0" encoding="utf-8"?>
<ds:datastoreItem xmlns:ds="http://schemas.openxmlformats.org/officeDocument/2006/customXml" ds:itemID="{DE315B41-421B-488B-8EBD-B79F1CF76D30}">
  <ds:schemaRefs/>
</ds:datastoreItem>
</file>

<file path=customXml/itemProps12.xml><?xml version="1.0" encoding="utf-8"?>
<ds:datastoreItem xmlns:ds="http://schemas.openxmlformats.org/officeDocument/2006/customXml" ds:itemID="{5FD27C19-1568-4453-AB61-87A6C6FAD224}">
  <ds:schemaRefs/>
</ds:datastoreItem>
</file>

<file path=customXml/itemProps13.xml><?xml version="1.0" encoding="utf-8"?>
<ds:datastoreItem xmlns:ds="http://schemas.openxmlformats.org/officeDocument/2006/customXml" ds:itemID="{DBD1D52A-7F06-48FD-820F-A4C3BF6E554B}">
  <ds:schemaRefs/>
</ds:datastoreItem>
</file>

<file path=customXml/itemProps14.xml><?xml version="1.0" encoding="utf-8"?>
<ds:datastoreItem xmlns:ds="http://schemas.openxmlformats.org/officeDocument/2006/customXml" ds:itemID="{7445FFE8-AE3A-42C3-B79B-C5C71F13C4BC}">
  <ds:schemaRefs/>
</ds:datastoreItem>
</file>

<file path=customXml/itemProps15.xml><?xml version="1.0" encoding="utf-8"?>
<ds:datastoreItem xmlns:ds="http://schemas.openxmlformats.org/officeDocument/2006/customXml" ds:itemID="{4E62B3C5-0B7E-44DD-BAA7-50E22AE769C9}">
  <ds:schemaRefs/>
</ds:datastoreItem>
</file>

<file path=customXml/itemProps16.xml><?xml version="1.0" encoding="utf-8"?>
<ds:datastoreItem xmlns:ds="http://schemas.openxmlformats.org/officeDocument/2006/customXml" ds:itemID="{33FC9BB7-815D-4CA4-93A3-8AFE5B9D12CC}">
  <ds:schemaRefs/>
</ds:datastoreItem>
</file>

<file path=customXml/itemProps17.xml><?xml version="1.0" encoding="utf-8"?>
<ds:datastoreItem xmlns:ds="http://schemas.openxmlformats.org/officeDocument/2006/customXml" ds:itemID="{2D641A6E-0911-4431-8CD7-DF2B67C0A7B1}">
  <ds:schemaRefs/>
</ds:datastoreItem>
</file>

<file path=customXml/itemProps18.xml><?xml version="1.0" encoding="utf-8"?>
<ds:datastoreItem xmlns:ds="http://schemas.openxmlformats.org/officeDocument/2006/customXml" ds:itemID="{6BC9E959-6E65-459B-AEA7-012D30BCF06D}">
  <ds:schemaRefs/>
</ds:datastoreItem>
</file>

<file path=customXml/itemProps19.xml><?xml version="1.0" encoding="utf-8"?>
<ds:datastoreItem xmlns:ds="http://schemas.openxmlformats.org/officeDocument/2006/customXml" ds:itemID="{94547424-2647-4F09-9CA3-967AE74C00DD}">
  <ds:schemaRefs/>
</ds:datastoreItem>
</file>

<file path=customXml/itemProps20.xml><?xml version="1.0" encoding="utf-8"?>
<ds:datastoreItem xmlns:ds="http://schemas.openxmlformats.org/officeDocument/2006/customXml" ds:itemID="{534D4E8C-573E-4452-A100-B9475361D33A}">
  <ds:schemaRefs/>
</ds:datastoreItem>
</file>

<file path=customXml/itemProps21.xml><?xml version="1.0" encoding="utf-8"?>
<ds:datastoreItem xmlns:ds="http://schemas.openxmlformats.org/officeDocument/2006/customXml" ds:itemID="{E8549CE3-6A14-41C5-9137-9E1B0F3AD66E}">
  <ds:schemaRefs/>
</ds:datastoreItem>
</file>

<file path=customXml/itemProps22.xml><?xml version="1.0" encoding="utf-8"?>
<ds:datastoreItem xmlns:ds="http://schemas.openxmlformats.org/officeDocument/2006/customXml" ds:itemID="{89FCBFD2-262E-45BC-96F8-7DCD6D46B83D}">
  <ds:schemaRefs/>
</ds:datastoreItem>
</file>

<file path=customXml/itemProps23.xml><?xml version="1.0" encoding="utf-8"?>
<ds:datastoreItem xmlns:ds="http://schemas.openxmlformats.org/officeDocument/2006/customXml" ds:itemID="{BEBADF1F-B44C-42EF-AD57-DCB73C0A6492}">
  <ds:schemaRefs/>
</ds:datastoreItem>
</file>

<file path=customXml/itemProps24.xml><?xml version="1.0" encoding="utf-8"?>
<ds:datastoreItem xmlns:ds="http://schemas.openxmlformats.org/officeDocument/2006/customXml" ds:itemID="{5119AADC-03E2-4EED-9C09-4383074A0EB1}">
  <ds:schemaRefs/>
</ds:datastoreItem>
</file>

<file path=customXml/itemProps25.xml><?xml version="1.0" encoding="utf-8"?>
<ds:datastoreItem xmlns:ds="http://schemas.openxmlformats.org/officeDocument/2006/customXml" ds:itemID="{423B8DAF-0B0F-427E-8400-5EC1DD62C262}">
  <ds:schemaRefs/>
</ds:datastoreItem>
</file>

<file path=customXml/itemProps26.xml><?xml version="1.0" encoding="utf-8"?>
<ds:datastoreItem xmlns:ds="http://schemas.openxmlformats.org/officeDocument/2006/customXml" ds:itemID="{380ABACA-8F10-482F-8D46-9F2337A9F58F}">
  <ds:schemaRefs/>
</ds:datastoreItem>
</file>

<file path=customXml/itemProps27.xml><?xml version="1.0" encoding="utf-8"?>
<ds:datastoreItem xmlns:ds="http://schemas.openxmlformats.org/officeDocument/2006/customXml" ds:itemID="{359AC154-B2E4-4861-9B64-2AF04A04A609}">
  <ds:schemaRefs/>
</ds:datastoreItem>
</file>

<file path=customXml/itemProps28.xml><?xml version="1.0" encoding="utf-8"?>
<ds:datastoreItem xmlns:ds="http://schemas.openxmlformats.org/officeDocument/2006/customXml" ds:itemID="{22DBB832-5E1C-4648-A2CD-4FB10EB98BEC}">
  <ds:schemaRefs/>
</ds:datastoreItem>
</file>

<file path=customXml/itemProps29.xml><?xml version="1.0" encoding="utf-8"?>
<ds:datastoreItem xmlns:ds="http://schemas.openxmlformats.org/officeDocument/2006/customXml" ds:itemID="{B5ACC165-9A4D-47FE-9028-DBD34B829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Sales &amp; Profit</vt:lpstr>
      <vt:lpstr>Trends</vt:lpstr>
      <vt:lpstr>Distribution</vt:lpstr>
      <vt:lpstr>Sales Map</vt:lpstr>
      <vt:lpstr>Pivot_tables</vt:lpstr>
      <vt:lpstr>DataSheet</vt:lpstr>
      <vt:lpstr>DataSheet!ExternalData_1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Lakhanpal</dc:creator>
  <cp:lastModifiedBy>Saurabh Lakhanpal</cp:lastModifiedBy>
  <dcterms:created xsi:type="dcterms:W3CDTF">2023-10-07T23:24:56Z</dcterms:created>
  <dcterms:modified xsi:type="dcterms:W3CDTF">2023-10-20T21:16:00Z</dcterms:modified>
</cp:coreProperties>
</file>